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0vDbcm9fS7MObSd2Glvi6mFgqN2KscItq7eRX9YFQWZpZbnRmEpU61NlKstKIZSC1yrRuywR8q+3xJJwU9+cgw==" workbookSaltValue="/T7ZbL+9bY8R5ZfoUAK7P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BG12" i="13" s="1"/>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AF13" i="8"/>
  <c r="AE13" i="8"/>
  <c r="AD13" i="8"/>
  <c r="AC13" i="8"/>
  <c r="AB13" i="8"/>
  <c r="AA13" i="8"/>
  <c r="Z13" i="8"/>
  <c r="Y13" i="8"/>
  <c r="X13" i="8"/>
  <c r="W13" i="8"/>
  <c r="V13" i="8"/>
  <c r="U13" i="8"/>
  <c r="T13" i="8"/>
  <c r="S13" i="8"/>
  <c r="R13" i="8"/>
  <c r="R20" i="8" s="1"/>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P20" i="19"/>
  <c r="BD18" i="8"/>
  <c r="BF18" i="8"/>
  <c r="BC13" i="13"/>
  <c r="N10" i="11"/>
  <c r="N9" i="11"/>
  <c r="ES20" i="8"/>
  <c r="C19" i="7"/>
  <c r="AC20" i="13"/>
  <c r="EP20" i="19"/>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E21" i="27"/>
  <c r="AC20" i="8" l="1"/>
  <c r="AE20" i="8"/>
  <c r="AT19" i="20"/>
  <c r="F11" i="17"/>
  <c r="AQ11" i="17" s="1"/>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S18" i="16" s="1"/>
  <c r="AL17" i="11"/>
  <c r="BG9" i="8"/>
  <c r="F11" i="12"/>
  <c r="H9" i="2"/>
  <c r="AN9" i="11"/>
  <c r="D9" i="6"/>
  <c r="J9" i="12" s="1"/>
  <c r="C9" i="6"/>
  <c r="C18" i="6"/>
  <c r="L18" i="14"/>
  <c r="W13" i="17"/>
  <c r="C15" i="6"/>
  <c r="AF13" i="21"/>
  <c r="AF20" i="21" s="1"/>
  <c r="E18" i="6"/>
  <c r="B18" i="6"/>
  <c r="AL18" i="11"/>
  <c r="F9" i="12"/>
  <c r="Y9" i="11"/>
  <c r="U13" i="16"/>
  <c r="BD9" i="8"/>
  <c r="H9" i="7" s="1"/>
  <c r="F18" i="17"/>
  <c r="AQ18" i="17" s="1"/>
  <c r="D9" i="2"/>
  <c r="AO9" i="11"/>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I18" i="12" l="1"/>
  <c r="K18" i="12"/>
  <c r="J11" i="12"/>
  <c r="G20" i="7"/>
  <c r="BL21" i="26"/>
  <c r="Z20" i="17"/>
  <c r="AP20" i="20"/>
  <c r="U17" i="21"/>
  <c r="U19" i="21" s="1"/>
  <c r="AO11" i="17"/>
  <c r="AM18" i="11"/>
  <c r="AA19" i="21"/>
  <c r="X17" i="20"/>
  <c r="BV12" i="16"/>
  <c r="BE19" i="13"/>
  <c r="BF19" i="13"/>
  <c r="J12" i="12"/>
  <c r="BH19" i="26"/>
  <c r="V10" i="11"/>
  <c r="U11" i="17"/>
  <c r="X10" i="16"/>
  <c r="X18" i="16"/>
  <c r="V18" i="20"/>
  <c r="BH17" i="16"/>
  <c r="X19" i="17"/>
  <c r="U12" i="17"/>
  <c r="AP19" i="20"/>
  <c r="X11" i="17"/>
  <c r="X15" i="16"/>
  <c r="X19" i="16" s="1"/>
  <c r="BM17" i="11"/>
  <c r="AP16" i="20"/>
  <c r="BV16" i="16"/>
  <c r="BH16" i="16"/>
  <c r="T16" i="16"/>
  <c r="BW16" i="27"/>
  <c r="P16" i="17"/>
  <c r="S16" i="26"/>
  <c r="BL16" i="11"/>
  <c r="BJ16" i="11"/>
  <c r="BH16" i="11"/>
  <c r="BF16" i="11"/>
  <c r="S16" i="16"/>
  <c r="AP16" i="27"/>
  <c r="BU16" i="17"/>
  <c r="Q16" i="17"/>
  <c r="BV16" i="26"/>
  <c r="BH16" i="26"/>
  <c r="T16" i="26"/>
  <c r="BM16" i="11"/>
  <c r="BK16" i="11"/>
  <c r="BI16" i="11"/>
  <c r="BG16" i="11"/>
  <c r="V16" i="11"/>
  <c r="S16" i="14"/>
  <c r="V16" i="14" s="1"/>
  <c r="U16" i="17"/>
  <c r="V16" i="16"/>
  <c r="L16" i="2"/>
  <c r="R16" i="14"/>
  <c r="AA16" i="26"/>
  <c r="X16" i="17"/>
  <c r="V16" i="20"/>
  <c r="AO16" i="17"/>
  <c r="AM16" i="11"/>
  <c r="AZ16" i="11"/>
  <c r="X16" i="26"/>
  <c r="V16" i="27"/>
  <c r="AA16" i="16"/>
  <c r="T16" i="11"/>
  <c r="V16" i="26"/>
  <c r="S16" i="17"/>
  <c r="X16" i="16"/>
  <c r="S18" i="26"/>
  <c r="BV17" i="26"/>
  <c r="BH17" i="26"/>
  <c r="S15" i="26"/>
  <c r="BV12" i="26"/>
  <c r="BH12" i="26"/>
  <c r="BV10" i="26"/>
  <c r="BH10" i="26"/>
  <c r="BV18" i="26"/>
  <c r="BH18" i="26"/>
  <c r="T18" i="26"/>
  <c r="BV15" i="26"/>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BH13"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BV19" i="26" l="1"/>
  <c r="T19" i="26"/>
  <c r="T20" i="26" s="1"/>
  <c r="S19" i="26"/>
  <c r="S20" i="26" s="1"/>
  <c r="V19" i="26"/>
  <c r="X20" i="26"/>
  <c r="X13" i="26"/>
  <c r="BV13" i="26"/>
  <c r="BV20" i="26" s="1"/>
  <c r="BV22"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O21" i="21"/>
  <c r="AE21" i="17"/>
  <c r="V21" i="20"/>
  <c r="AI21" i="17"/>
  <c r="Z21" i="16"/>
  <c r="T21" i="16"/>
  <c r="O21" i="11"/>
  <c r="E21" i="21"/>
  <c r="AN21" i="17"/>
  <c r="AP21" i="17"/>
  <c r="AT21" i="20"/>
  <c r="AF21" i="11"/>
  <c r="Y21" i="16"/>
  <c r="Y21" i="11"/>
  <c r="AO21" i="21"/>
  <c r="BO21" i="16"/>
  <c r="AF21" i="21"/>
  <c r="N21" i="16"/>
  <c r="AS21" i="17"/>
  <c r="BS21" i="16"/>
  <c r="AB21" i="11"/>
  <c r="V21" i="11"/>
  <c r="I21" i="17"/>
  <c r="AD21" i="21"/>
  <c r="E21" i="16"/>
  <c r="AU21" i="21"/>
  <c r="AS21" i="11"/>
  <c r="T21" i="11"/>
  <c r="X21" i="16"/>
  <c r="U21" i="16"/>
  <c r="BI21" i="16"/>
  <c r="AR21" i="11"/>
  <c r="L21" i="16"/>
  <c r="AM21" i="21"/>
  <c r="AN21" i="11"/>
  <c r="S21" i="16"/>
  <c r="AV21" i="16"/>
  <c r="AB21" i="21"/>
  <c r="AE21" i="21"/>
  <c r="P21" i="17"/>
  <c r="W21" i="17"/>
  <c r="H21" i="12"/>
  <c r="AG21" i="11"/>
  <c r="V21" i="21"/>
  <c r="AJ21" i="16"/>
  <c r="AR21" i="21"/>
  <c r="P21" i="11"/>
  <c r="F21" i="11"/>
  <c r="AR21" i="16"/>
  <c r="AZ21" i="11"/>
  <c r="AV21" i="11"/>
  <c r="I21" i="12"/>
  <c r="K21" i="12"/>
  <c r="H21" i="16"/>
  <c r="K21" i="11"/>
  <c r="S21" i="11"/>
  <c r="K21" i="21"/>
  <c r="AE21" i="11"/>
  <c r="AM21" i="17"/>
  <c r="T21" i="17"/>
  <c r="AL21" i="21"/>
  <c r="AP21" i="16"/>
  <c r="AK21" i="17"/>
  <c r="AX21" i="16"/>
  <c r="M21" i="16"/>
  <c r="AY21" i="21"/>
  <c r="AY21" i="16"/>
  <c r="O21" i="16"/>
  <c r="BK21" i="16"/>
  <c r="P21" i="16"/>
  <c r="J21" i="11"/>
  <c r="X21" i="11"/>
  <c r="AJ21" i="11"/>
  <c r="D21" i="12"/>
  <c r="Q21" i="17"/>
  <c r="DC16" i="16" l="1"/>
  <c r="DD18" i="16"/>
  <c r="DC17" i="16"/>
  <c r="DC12" i="16"/>
  <c r="DD17" i="16"/>
  <c r="DD12" i="16"/>
  <c r="DD10" i="16"/>
  <c r="DC9" i="16"/>
  <c r="DD16" i="16"/>
  <c r="DC18" i="16"/>
  <c r="DC15" i="16"/>
  <c r="DC11" i="16"/>
  <c r="DD15" i="16"/>
  <c r="DD11" i="16"/>
  <c r="DC10" i="16"/>
  <c r="DD9" i="16"/>
  <c r="AQ21" i="17"/>
  <c r="CB17" i="16"/>
  <c r="CB10" i="16"/>
  <c r="CB11" i="16"/>
  <c r="CC18" i="16"/>
  <c r="CB18" i="16"/>
  <c r="CC10" i="16"/>
  <c r="CB12" i="16"/>
  <c r="CC16" i="16"/>
  <c r="CB16" i="16"/>
  <c r="CC12" i="16"/>
  <c r="CC9" i="16"/>
  <c r="CC17" i="16"/>
  <c r="CB15" i="16"/>
  <c r="CC15" i="16"/>
  <c r="CB9" i="16"/>
  <c r="CC11" i="16"/>
  <c r="CR16" i="16"/>
  <c r="CR18" i="16"/>
  <c r="CR12" i="16"/>
  <c r="CQ17" i="16"/>
  <c r="CR9" i="16"/>
  <c r="CR17" i="16"/>
  <c r="CR11" i="16"/>
  <c r="CQ18" i="16"/>
  <c r="CQ16" i="16"/>
  <c r="CQ12" i="16"/>
  <c r="CR15" i="16"/>
  <c r="CQ11" i="16"/>
  <c r="CQ15" i="16"/>
  <c r="CQ10" i="16"/>
  <c r="CQ9" i="16"/>
  <c r="CR10" i="16"/>
  <c r="EI16" i="16"/>
  <c r="EJ12" i="16"/>
  <c r="EJ10" i="16"/>
  <c r="EI10" i="16"/>
  <c r="EI11" i="16"/>
  <c r="EJ17" i="16"/>
  <c r="EJ18" i="16"/>
  <c r="EI15" i="16"/>
  <c r="EJ16" i="16"/>
  <c r="EJ15" i="16"/>
  <c r="EJ9" i="16"/>
  <c r="EI12" i="16"/>
  <c r="EI17" i="16"/>
  <c r="EI9" i="16"/>
  <c r="EJ11" i="16"/>
  <c r="EI18" i="16"/>
  <c r="EN10" i="16"/>
  <c r="EM18" i="16"/>
  <c r="EN11" i="16"/>
  <c r="EM11" i="16"/>
  <c r="EM9" i="16"/>
  <c r="EN12" i="16"/>
  <c r="EM17" i="16"/>
  <c r="EN16" i="16"/>
  <c r="EM16" i="16"/>
  <c r="EM10" i="16"/>
  <c r="EN15" i="16"/>
  <c r="EN9" i="16"/>
  <c r="EM15" i="16"/>
  <c r="EN18" i="16"/>
  <c r="EN17" i="16"/>
  <c r="EM12" i="16"/>
  <c r="AP21" i="11"/>
  <c r="ER16" i="16"/>
  <c r="EQ16" i="16"/>
  <c r="EQ12" i="16"/>
  <c r="ER12" i="16"/>
  <c r="EQ9" i="16"/>
  <c r="EQ18" i="16"/>
  <c r="EQ10" i="16"/>
  <c r="EQ11" i="16"/>
  <c r="ER11" i="16"/>
  <c r="ER17" i="16"/>
  <c r="EQ15" i="16"/>
  <c r="ER15" i="16"/>
  <c r="ER9" i="16"/>
  <c r="ER10" i="16"/>
  <c r="ER18" i="16"/>
  <c r="EQ17" i="16"/>
  <c r="BZ16" i="16"/>
  <c r="BY10" i="16"/>
  <c r="BZ18" i="16"/>
  <c r="BY11" i="16"/>
  <c r="BY17" i="16"/>
  <c r="BZ10" i="16"/>
  <c r="BZ12" i="16"/>
  <c r="BL21" i="16"/>
  <c r="BY16" i="16"/>
  <c r="BY9" i="16"/>
  <c r="BY18" i="16"/>
  <c r="BZ9" i="16"/>
  <c r="BZ15" i="16"/>
  <c r="BY15" i="16"/>
  <c r="BZ11" i="16"/>
  <c r="BZ17" i="16"/>
  <c r="BY12" i="16"/>
  <c r="CL16" i="16"/>
  <c r="CL18" i="16"/>
  <c r="CL12" i="16"/>
  <c r="CK10" i="16"/>
  <c r="CK9" i="16"/>
  <c r="CL17" i="16"/>
  <c r="CL15" i="16"/>
  <c r="CL11" i="16"/>
  <c r="CK16" i="16"/>
  <c r="CK15" i="16"/>
  <c r="CL10" i="16"/>
  <c r="CK11" i="16"/>
  <c r="CK18" i="16"/>
  <c r="CK17" i="16"/>
  <c r="CK12" i="16"/>
  <c r="CL9" i="16"/>
  <c r="CZ16" i="16"/>
  <c r="CZ18" i="16"/>
  <c r="CZ15" i="16"/>
  <c r="CZ9" i="16"/>
  <c r="CY17" i="16"/>
  <c r="CY18" i="16"/>
  <c r="CZ12" i="16"/>
  <c r="CY11" i="16"/>
  <c r="CY16" i="16"/>
  <c r="CZ17" i="16"/>
  <c r="CZ11" i="16"/>
  <c r="CY15" i="16"/>
  <c r="CZ10" i="16"/>
  <c r="CY9" i="16"/>
  <c r="CY12" i="16"/>
  <c r="CY10" i="16"/>
  <c r="CU16" i="16"/>
  <c r="CU15" i="16"/>
  <c r="CV15" i="16"/>
  <c r="CU17" i="16"/>
  <c r="CU11" i="16"/>
  <c r="CU9" i="16"/>
  <c r="CV10" i="16"/>
  <c r="CV9" i="16"/>
  <c r="CV16" i="16"/>
  <c r="CV17" i="16"/>
  <c r="CV18" i="16"/>
  <c r="CU18" i="16"/>
  <c r="CV12" i="16"/>
  <c r="CV11" i="16"/>
  <c r="CU12" i="16"/>
  <c r="CU10" i="16"/>
  <c r="CH16" i="16"/>
  <c r="CI9" i="16"/>
  <c r="CH12" i="16"/>
  <c r="CH15" i="16"/>
  <c r="CH10" i="16"/>
  <c r="CH18" i="16"/>
  <c r="CI15" i="16"/>
  <c r="CH9" i="16"/>
  <c r="CI16" i="16"/>
  <c r="CH11" i="16"/>
  <c r="CH17" i="16"/>
  <c r="CI12" i="16"/>
  <c r="CI10" i="16"/>
  <c r="CI18" i="16"/>
  <c r="CI11" i="16"/>
  <c r="CI17" i="16"/>
  <c r="DH16" i="16"/>
  <c r="DG10" i="16"/>
  <c r="DH18" i="16"/>
  <c r="DH12" i="16"/>
  <c r="DH9" i="16"/>
  <c r="DH17" i="16"/>
  <c r="DG18" i="16"/>
  <c r="DG11" i="16"/>
  <c r="DG16" i="16"/>
  <c r="DG17" i="16"/>
  <c r="DG12" i="16"/>
  <c r="DH11" i="16"/>
  <c r="DH10" i="16"/>
  <c r="DH15" i="16"/>
  <c r="DG9" i="16"/>
  <c r="DG15" i="16"/>
  <c r="AT21" i="21"/>
  <c r="CO16" i="16"/>
  <c r="CN18" i="16"/>
  <c r="CO12" i="16"/>
  <c r="CN11" i="16"/>
  <c r="CN9" i="16"/>
  <c r="CO18" i="16"/>
  <c r="CO11" i="16"/>
  <c r="CO9" i="16"/>
  <c r="CN16" i="16"/>
  <c r="CN17" i="16"/>
  <c r="CO15" i="16"/>
  <c r="CN12" i="16"/>
  <c r="CO10" i="16"/>
  <c r="CN15" i="16"/>
  <c r="CO17" i="16"/>
  <c r="CN10" i="16"/>
  <c r="AQ21" i="11"/>
  <c r="CF16" i="16"/>
  <c r="CE9" i="16"/>
  <c r="CF9" i="16"/>
  <c r="CF17" i="16"/>
  <c r="CE18" i="16"/>
  <c r="CF12" i="16"/>
  <c r="CF15" i="16"/>
  <c r="CE12" i="16"/>
  <c r="CE16" i="16"/>
  <c r="CE17" i="16"/>
  <c r="CF11" i="16"/>
  <c r="CE11" i="16"/>
  <c r="CF10" i="16"/>
  <c r="CE15" i="16"/>
  <c r="CE10" i="16"/>
  <c r="CF18"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<sst xmlns="http://schemas.openxmlformats.org/spreadsheetml/2006/main" count="2513" uniqueCount="1026">
  <si>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</si>
  <si>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</si>
  <si>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</si>
  <si>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</si>
  <si>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</si>
  <si>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</si>
  <si>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</si>
  <si>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</si>
  <si>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</si>
  <si>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</si>
  <si>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</si>
  <si>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</si>
  <si>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</si>
  <si>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</si>
  <si>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</si>
  <si>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</si>
  <si>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</si>
  <si>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</si>
  <si>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</si>
  <si>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</si>
  <si>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</si>
  <si>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</si>
  <si>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</si>
  <si>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</si>
  <si>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</si>
  <si>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</si>
  <si>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</si>
  <si>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</si>
  <si>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</si>
  <si>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</si>
  <si>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</si>
  <si>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</si>
  <si>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</si>
  <si>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</si>
  <si>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</si>
  <si>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</si>
  <si>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</si>
  <si>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</si>
  <si>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</si>
  <si>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</si>
  <si>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</si>
  <si>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</si>
  <si>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</si>
  <si>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</si>
  <si>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</si>
  <si>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</si>
  <si>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</si>
  <si>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</si>
  <si>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</si>
  <si>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</si>
  <si>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</si>
  <si>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</si>
  <si>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</si>
  <si>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</si>
  <si>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</si>
  <si>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</si>
  <si>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</si>
  <si>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</si>
  <si>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</si>
  <si>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</si>
  <si>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</si>
  <si>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</si>
  <si>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</si>
  <si>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</si>
  <si>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</si>
  <si>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</si>
  <si>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</si>
  <si>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</si>
  <si>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</si>
  <si>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</si>
  <si>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</si>
  <si>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</si>
  <si>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</si>
  <si>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</si>
  <si>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</si>
  <si>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</si>
  <si>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</si>
  <si>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</si>
  <si>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</si>
  <si>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</si>
  <si>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</si>
  <si>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</si>
  <si>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</si>
  <si>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</si>
  <si>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</si>
  <si>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</si>
  <si>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</si>
  <si>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</si>
  <si>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</si>
  <si>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</si>
  <si>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</si>
  <si>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</si>
  <si>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</si>
  <si>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</si>
  <si>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</si>
  <si>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</si>
  <si>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</si>
  <si>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</si>
  <si>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</si>
  <si>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</si>
  <si>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</si>
  <si>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</si>
  <si>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</si>
  <si>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</si>
  <si>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</si>
  <si>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</si>
  <si>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</si>
  <si>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</si>
  <si>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</si>
  <si>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</si>
  <si>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</si>
  <si>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</si>
  <si>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</si>
  <si>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</si>
  <si>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</si>
  <si>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</si>
  <si>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</si>
  <si>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</si>
  <si>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</si>
  <si>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</si>
  <si>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</si>
  <si>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</si>
  <si>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</si>
  <si>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</si>
  <si>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</si>
  <si>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</si>
  <si>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</si>
  <si>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</si>
  <si>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</si>
  <si>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</si>
  <si>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</si>
  <si>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</si>
  <si>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</si>
  <si>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</si>
  <si>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</si>
  <si>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</si>
  <si>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</si>
  <si>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</si>
  <si>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</si>
  <si>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</si>
  <si>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</si>
  <si>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</si>
  <si>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</si>
  <si>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</si>
  <si>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</si>
  <si>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</si>
  <si>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</si>
  <si>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</si>
  <si>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</si>
  <si>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</si>
  <si>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</si>
  <si>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</si>
  <si>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</si>
  <si>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</si>
  <si>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</si>
  <si>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</si>
  <si>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</si>
  <si>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</si>
  <si>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</si>
  <si>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</si>
  <si>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</si>
  <si>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</si>
  <si>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</si>
  <si>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</si>
  <si>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</si>
  <si>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</si>
  <si>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</si>
  <si>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</si>
  <si>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</si>
  <si>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</si>
  <si>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</si>
  <si>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</si>
  <si>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</si>
  <si>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</si>
  <si>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</si>
  <si>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</si>
  <si>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</si>
  <si>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</si>
  <si>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</si>
  <si>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</si>
  <si>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</si>
  <si>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</si>
  <si>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</si>
  <si>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</si>
  <si>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</si>
  <si>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</si>
  <si>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</si>
  <si>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</si>
  <si>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</si>
  <si>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</si>
  <si>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</si>
  <si>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</si>
  <si>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</si>
  <si>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</si>
  <si>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</si>
  <si>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</si>
  <si>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</si>
  <si>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</si>
  <si>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</si>
  <si>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</si>
  <si>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</si>
  <si>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</si>
  <si>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</si>
  <si>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</si>
  <si>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</si>
  <si>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</si>
  <si>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</si>
  <si>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</si>
  <si>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</si>
  <si>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</si>
  <si>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</si>
  <si>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</si>
  <si>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</si>
  <si>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</si>
  <si>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</si>
  <si>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</si>
  <si>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</si>
  <si>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</si>
  <si>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</si>
  <si>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</si>
  <si>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</si>
  <si>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</si>
  <si>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</si>
  <si>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</si>
  <si>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</si>
  <si>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</si>
  <si>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</si>
  <si>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</si>
  <si>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</si>
  <si>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</si>
  <si>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</si>
  <si>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</si>
  <si>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</si>
  <si>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</si>
  <si>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</si>
  <si>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</si>
  <si>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</si>
  <si>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</si>
  <si>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</si>
  <si>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</si>
  <si>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</si>
  <si>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</si>
  <si>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</si>
  <si>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</si>
  <si>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</si>
  <si>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</si>
  <si>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</si>
  <si>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</si>
  <si>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</si>
  <si>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</si>
  <si>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</si>
  <si>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</si>
  <si>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</si>
  <si>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</si>
  <si>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</si>
  <si>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</si>
  <si>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</si>
  <si>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</si>
  <si>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</si>
  <si>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</si>
  <si>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</si>
  <si>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</si>
  <si>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</si>
  <si>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</si>
  <si>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</si>
  <si>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</si>
  <si>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</si>
  <si>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</si>
  <si>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</si>
  <si>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</si>
  <si>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</si>
  <si>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</si>
  <si>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</si>
  <si>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</si>
  <si>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</si>
  <si>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</si>
  <si>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</si>
  <si>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</si>
  <si>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</si>
  <si>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</si>
  <si>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</si>
  <si>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</si>
  <si>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</si>
  <si>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</si>
  <si>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</si>
  <si>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</si>
  <si>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</si>
  <si>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</si>
  <si>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</si>
  <si>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</si>
  <si>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</si>
  <si>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</si>
  <si>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</si>
  <si>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</si>
  <si>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</si>
  <si>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</si>
  <si>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</si>
  <si>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</si>
  <si>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</si>
  <si>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</si>
  <si>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</si>
  <si>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</si>
  <si>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</si>
  <si>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</si>
  <si>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</si>
  <si>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</si>
  <si>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</si>
  <si>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</si>
  <si>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</si>
  <si>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</si>
  <si>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</si>
  <si>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</si>
  <si>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</si>
  <si>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</si>
  <si>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</si>
  <si>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</si>
  <si>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</si>
  <si>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</si>
  <si>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</si>
  <si>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</si>
  <si>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</si>
  <si>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</si>
  <si>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</si>
  <si>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</si>
  <si>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</si>
  <si>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</si>
  <si>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</si>
  <si>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</si>
  <si>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</si>
  <si>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</si>
  <si>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</si>
  <si>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</si>
  <si>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</si>
  <si>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</si>
  <si>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</si>
  <si>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</si>
  <si>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</si>
  <si>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</si>
  <si>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</si>
  <si>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</si>
  <si>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</si>
  <si>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</si>
  <si>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</si>
  <si>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</si>
  <si>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</si>
  <si>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</si>
  <si>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</si>
  <si>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</si>
  <si>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</si>
  <si>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</si>
  <si>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</si>
  <si>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</si>
  <si>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</si>
  <si>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</si>
  <si>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</si>
  <si>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</si>
  <si>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</si>
  <si>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</si>
  <si>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</si>
  <si>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</si>
  <si>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</si>
  <si>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</si>
  <si>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</si>
  <si>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</si>
  <si>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</si>
  <si>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</si>
  <si>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</si>
  <si>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</si>
  <si>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</si>
  <si>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</si>
  <si>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</si>
  <si>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</si>
  <si>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</si>
  <si>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</si>
  <si>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</si>
  <si>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</si>
  <si>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</si>
  <si>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</si>
  <si>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</si>
  <si>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</si>
  <si>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</si>
  <si>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</si>
  <si>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</si>
  <si>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</si>
  <si>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</si>
  <si>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</si>
  <si>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</si>
  <si>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</si>
  <si>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</si>
  <si>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</si>
  <si>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</si>
  <si>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</si>
  <si>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</si>
  <si>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</si>
  <si>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</si>
  <si>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</si>
  <si>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</si>
  <si>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</si>
  <si>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</si>
  <si>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</si>
  <si>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</si>
  <si>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</si>
  <si>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</si>
  <si>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</si>
  <si>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</si>
  <si>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</si>
  <si>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</si>
  <si>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</si>
  <si>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</si>
  <si>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</si>
  <si>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</si>
  <si>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</si>
  <si>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</si>
  <si>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</si>
  <si>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</si>
  <si>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</si>
  <si>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</si>
  <si>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</si>
  <si>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</si>
  <si>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</si>
  <si>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</si>
  <si>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</si>
  <si>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</si>
  <si>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</si>
  <si>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</si>
  <si>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</si>
  <si>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</si>
  <si>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</si>
  <si>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</si>
  <si>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</si>
  <si>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</si>
  <si>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</si>
  <si>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</si>
  <si>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</si>
  <si>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</si>
  <si>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</si>
  <si>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</si>
  <si>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</si>
  <si>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</si>
  <si>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</si>
  <si>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</si>
  <si>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</si>
  <si>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</si>
  <si>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</si>
  <si>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</si>
  <si>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</si>
  <si>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</si>
  <si>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</si>
  <si>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</si>
  <si>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</si>
  <si>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</si>
  <si>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</si>
  <si>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</si>
  <si>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</si>
  <si>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</si>
  <si>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</si>
  <si>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</si>
  <si>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</si>
  <si>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</si>
  <si>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</si>
  <si>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</si>
  <si>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</si>
  <si>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</si>
  <si>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</si>
  <si>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</si>
  <si>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</si>
  <si>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</si>
  <si>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</si>
  <si>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</si>
  <si>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</si>
  <si>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</si>
  <si>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</si>
  <si>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</si>
  <si>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</si>
  <si>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</si>
  <si>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</si>
  <si>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</si>
  <si>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</si>
  <si>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</si>
  <si>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</si>
  <si>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</si>
  <si>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</si>
  <si>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</si>
  <si>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</si>
  <si>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</si>
  <si>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</si>
  <si>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</si>
  <si>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</si>
  <si>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</si>
  <si>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</si>
  <si>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</si>
  <si>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</si>
  <si>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</si>
  <si>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</si>
  <si>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</si>
  <si>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</si>
  <si>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</si>
  <si>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</si>
  <si>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</si>
  <si>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</si>
  <si>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</si>
  <si>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</si>
  <si>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</si>
  <si>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</si>
  <si>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</si>
  <si>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</si>
  <si>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</si>
  <si>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</si>
  <si>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</si>
  <si>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</si>
  <si>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</si>
  <si>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</si>
  <si>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</si>
  <si>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</si>
  <si>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</si>
  <si>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</si>
  <si>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</si>
  <si>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</si>
  <si>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</si>
  <si>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</si>
  <si>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</si>
  <si>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</si>
  <si>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</si>
  <si>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</si>
  <si>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</si>
  <si>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</si>
  <si>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</si>
  <si>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</si>
  <si>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</si>
  <si>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</si>
  <si>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</si>
  <si>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</si>
  <si>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</si>
  <si>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</si>
  <si>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</si>
  <si>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</si>
  <si>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</si>
  <si>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</si>
  <si>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</si>
  <si>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</si>
  <si>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</si>
  <si>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</si>
  <si>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</si>
  <si>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</si>
  <si>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</si>
  <si>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</si>
  <si>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</si>
  <si>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</si>
  <si>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</si>
  <si>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</si>
  <si>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</si>
  <si>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</si>
  <si>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</si>
  <si>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</si>
  <si>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</si>
  <si>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</si>
  <si>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</si>
  <si>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</si>
  <si>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</si>
  <si>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</si>
  <si>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</si>
  <si>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</si>
  <si>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</si>
  <si>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</si>
  <si>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</si>
  <si>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</si>
  <si>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</si>
  <si>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</si>
  <si>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</si>
  <si>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</si>
  <si>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</si>
  <si>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</si>
  <si>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</si>
  <si>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</si>
  <si>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</si>
  <si>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</si>
  <si>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</si>
  <si>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</si>
  <si>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</si>
  <si>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</si>
  <si>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</si>
  <si>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</si>
  <si>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</si>
  <si>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</si>
  <si>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</si>
  <si>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</si>
  <si>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</si>
  <si>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</si>
  <si>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</si>
  <si>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</si>
  <si>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</si>
  <si>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</si>
  <si>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</si>
  <si>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</si>
  <si>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</si>
  <si>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</si>
  <si>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</si>
  <si>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</si>
  <si>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</si>
  <si>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</si>
  <si>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</si>
  <si>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</si>
  <si>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</si>
  <si>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</si>
  <si>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</si>
  <si>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</si>
  <si>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</si>
  <si>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</si>
  <si>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</si>
  <si>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</si>
  <si>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</si>
  <si>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</si>
  <si>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</si>
  <si>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</si>
  <si>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</si>
  <si>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</si>
  <si>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</si>
  <si>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</si>
  <si>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</si>
  <si>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</si>
  <si>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</si>
  <si>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</si>
  <si>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</si>
  <si>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</si>
  <si>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</si>
  <si>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</si>
  <si>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</si>
  <si>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</si>
  <si>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</si>
  <si>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</si>
  <si>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</si>
  <si>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</si>
  <si>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</si>
  <si>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</si>
  <si>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</si>
  <si>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</si>
  <si>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</si>
  <si>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</si>
  <si>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</si>
  <si>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</si>
  <si>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</si>
  <si>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</si>
  <si>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</si>
  <si>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</si>
  <si>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</si>
  <si>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</si>
  <si>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</si>
  <si>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</si>
  <si>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</si>
  <si>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</si>
  <si>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</si>
  <si>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</si>
  <si>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</si>
  <si>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</si>
  <si>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</si>
  <si>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</si>
  <si>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</si>
  <si>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</si>
  <si>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</si>
  <si>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</si>
  <si>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</si>
  <si>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</si>
  <si>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</si>
  <si>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</si>
  <si>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</si>
  <si>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</si>
  <si>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</si>
  <si>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</si>
  <si>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</si>
  <si>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</si>
  <si>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</si>
  <si>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</si>
  <si>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</si>
  <si>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</si>
  <si>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</si>
  <si>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</si>
  <si>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</si>
  <si>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</si>
  <si>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</si>
  <si>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</si>
  <si>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</si>
  <si>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</si>
  <si>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</si>
  <si>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</si>
  <si>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</si>
  <si>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</si>
  <si>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</si>
  <si>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</si>
  <si>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</si>
  <si>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</si>
  <si>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</si>
  <si>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</si>
  <si>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</si>
  <si>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</si>
  <si>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</si>
  <si>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</si>
  <si>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</si>
  <si>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</si>
  <si>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</si>
  <si>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</si>
  <si>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</si>
  <si>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</si>
  <si>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</si>
  <si>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</si>
  <si>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</si>
  <si>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</si>
  <si>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</si>
  <si>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</si>
  <si>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</si>
  <si>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</si>
  <si>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</si>
  <si>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</si>
  <si>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</si>
  <si>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</si>
  <si>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</si>
  <si>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</si>
  <si>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</si>
  <si>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</si>
  <si>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</si>
  <si>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</si>
  <si>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</si>
  <si>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</si>
  <si>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</si>
  <si>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</si>
  <si>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</si>
  <si>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</si>
  <si>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</si>
  <si>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</si>
  <si>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</si>
  <si>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</si>
  <si>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</si>
  <si>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</si>
  <si>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</si>
  <si>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</si>
  <si>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</si>
  <si>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</si>
  <si>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</si>
  <si>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</si>
  <si>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</si>
  <si>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</si>
  <si>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</si>
  <si>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</si>
  <si>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</si>
  <si>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</si>
  <si>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</si>
  <si>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</si>
  <si>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</si>
  <si>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</si>
  <si>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</si>
  <si>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</si>
  <si>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</si>
  <si>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</si>
  <si>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</si>
  <si>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</si>
  <si>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</si>
  <si>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</si>
  <si>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</si>
  <si>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</si>
  <si>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</si>
  <si>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</si>
  <si>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</si>
  <si>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</si>
  <si>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</si>
  <si>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</si>
  <si>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</si>
  <si>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</si>
  <si>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</si>
  <si>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</si>
  <si>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</si>
  <si>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</si>
  <si>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</si>
  <si>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</si>
  <si>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</si>
  <si>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</si>
  <si>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</si>
  <si>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</si>
  <si>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</si>
  <si>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</si>
  <si>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</si>
  <si>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</si>
  <si>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</si>
  <si>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</si>
  <si>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</si>
  <si>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</si>
  <si>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</si>
  <si>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</si>
  <si>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</si>
  <si>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</si>
  <si>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</si>
  <si>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</si>
  <si>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</si>
  <si>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</si>
  <si>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</si>
  <si>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</si>
  <si>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</si>
  <si>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</si>
  <si>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</si>
  <si>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</si>
  <si>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</si>
  <si>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</si>
  <si>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</si>
  <si>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</si>
  <si>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</si>
  <si>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</si>
  <si>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</si>
  <si>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</si>
  <si>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</si>
  <si>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</si>
  <si>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</si>
  <si>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</si>
  <si>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</si>
  <si>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</si>
  <si>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</si>
  <si>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</si>
  <si>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</si>
  <si>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</si>
  <si>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</si>
  <si>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</si>
  <si>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</si>
  <si>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</si>
  <si>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</si>
  <si>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</si>
  <si>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</si>
  <si>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</si>
  <si>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</si>
  <si>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</si>
  <si>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</si>
  <si>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</si>
  <si>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</si>
  <si>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</si>
  <si>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</si>
  <si>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</si>
  <si>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</si>
  <si>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</si>
  <si>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</si>
  <si>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</si>
  <si>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</si>
  <si>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</si>
  <si>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</si>
  <si>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</si>
  <si>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</si>
  <si>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</si>
  <si>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</si>
  <si>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</si>
  <si>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</si>
  <si>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</si>
  <si>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</si>
  <si>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</si>
  <si>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</si>
  <si>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</si>
  <si>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</si>
  <si>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</si>
  <si>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</si>
  <si>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</si>
  <si>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</si>
  <si>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</si>
  <si>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</si>
  <si>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</si>
  <si>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</si>
  <si>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</si>
  <si>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</si>
  <si>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</si>
  <si>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</si>
  <si>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</si>
  <si>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</si>
  <si>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</si>
  <si>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</si>
  <si>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</si>
  <si>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</si>
  <si>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</si>
  <si>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</si>
  <si>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</si>
  <si>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</si>
  <si>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</si>
  <si>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</si>
  <si>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</si>
  <si>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</si>
  <si>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</si>
  <si>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</si>
  <si>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</si>
  <si>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</si>
  <si>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</si>
  <si>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</si>
  <si>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</si>
  <si>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</si>
  <si>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</si>
  <si>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</si>
  <si>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</si>
  <si>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</si>
  <si>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</si>
  <si>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</si>
  <si>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</si>
  <si>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</si>
  <si>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</si>
  <si>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</si>
  <si>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</si>
  <si>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</si>
  <si>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</si>
  <si>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</si>
  <si>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</si>
  <si>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</si>
  <si>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</si>
  <si>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</si>
  <si>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</si>
  <si>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</si>
  <si>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</si>
  <si>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</si>
  <si>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</si>
  <si>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</si>
  <si>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</si>
  <si>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</si>
  <si>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</si>
  <si>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</si>
  <si>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</si>
  <si>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</si>
  <si>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</si>
  <si>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</si>
  <si>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</si>
  <si>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</si>
  <si>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</si>
  <si>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</si>
  <si>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</si>
  <si>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</si>
  <si>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</si>
  <si>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</si>
  <si>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</si>
  <si>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</si>
  <si>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</si>
  <si>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</si>
  <si>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</si>
  <si>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</si>
  <si>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</si>
  <si>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</si>
  <si>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</si>
  <si>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</si>
  <si>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</si>
  <si>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</si>
  <si>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</si>
  <si>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</si>
  <si>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</si>
  <si>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</si>
  <si>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</si>
  <si>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</si>
  <si>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</si>
  <si>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</si>
  <si>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</si>
  <si>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</si>
  <si>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</si>
  <si>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</si>
  <si>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</si>
  <si>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</si>
  <si>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</si>
  <si>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</si>
  <si>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</si>
  <si>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</si>
  <si>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</si>
  <si>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</si>
  <si>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</si>
  <si>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</si>
  <si>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</si>
  <si>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</si>
  <si>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</si>
  <si>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</si>
  <si>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</si>
  <si>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</si>
  <si>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</si>
  <si>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</si>
  <si>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</si>
  <si>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</si>
  <si>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</si>
  <si>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</si>
  <si>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</si>
  <si>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</si>
  <si>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</si>
  <si>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</si>
  <si>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</si>
  <si>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</si>
  <si>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</si>
  <si>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</si>
  <si>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</si>
  <si>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</si>
  <si>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</si>
  <si>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</si>
  <si>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</si>
  <si>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</si>
  <si>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</si>
  <si>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</si>
  <si>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</si>
  <si>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</si>
  <si>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</si>
  <si>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</si>
  <si>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</si>
  <si>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</si>
  <si>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</si>
  <si>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</si>
  <si>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</si>
  <si>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</si>
  <si>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</si>
  <si>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</si>
  <si>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</si>
  <si>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</si>
  <si>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</si>
  <si>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</si>
  <si>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</si>
  <si>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</si>
  <si>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</si>
  <si>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</si>
  <si>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</si>
  <si>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</si>
  <si>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</si>
  <si>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</si>
  <si>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</si>
  <si>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</si>
  <si>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</si>
  <si>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</si>
  <si>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</si>
  <si>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</si>
  <si>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</si>
  <si>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</si>
  <si>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</si>
  <si>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</si>
  <si>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</si>
  <si>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</si>
  <si>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A CORUÑA</t>
  </si>
  <si>
    <t>Resumenes por Partidos Judiciales</t>
  </si>
  <si>
    <t>SANTIAGO DE COMPOSTELA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</si>
</sst>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Slm6bUtBA8vdzyWH1U2D3C3AqvRgR5XwN/Yu72YgdJ2BsYRhzHfLXenzFUmIpnPSjaMCOX/mqMcydR6elM0NjA==" saltValue="DKOnjgf/o8hFqnstWvDQP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5</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38.882554161915621</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86</v>
      </c>
      <c r="D10" s="224">
        <f>IF(ISNUMBER(Datos!I10),Datos!I10," - ")</f>
        <v>86</v>
      </c>
      <c r="E10" s="225">
        <f>IF(ISNUMBER(Datos!J10),Datos!J10," - ")</f>
        <v>15</v>
      </c>
      <c r="F10" s="225">
        <f>IF(ISNUMBER(Datos!K10),Datos!K10," - ")</f>
        <v>13</v>
      </c>
      <c r="G10" s="1029" t="str">
        <f>IF(Datos!E10&lt;&gt;"",Datos!E10,Datos!D10)</f>
        <v>37</v>
      </c>
      <c r="H10" s="226">
        <f>IF(ISNUMBER(Datos!L10),Datos!L10," - ")</f>
        <v>88</v>
      </c>
      <c r="I10" s="1039" t="str">
        <f>IF(ISNUMBER(Datos!AS10/Datos!BM10),Datos!AS10/Datos!BM10," - ")</f>
        <v xml:space="preserve"> - </v>
      </c>
      <c r="J10" s="1040">
        <f>IF(ISNUMBER(Datos!BY10/Datos!CN10),Datos!BY10/Datos!CN10," - ")</f>
        <v>0</v>
      </c>
      <c r="K10" s="229">
        <f t="shared" ref="K10:K12" si="1">IF(ISNUMBER((E10-F10)/C10),(E10-F10)/C10," - ")</f>
        <v>2.3255813953488372E-2</v>
      </c>
      <c r="L10" s="1020">
        <f>IF(ISNUMBER(NºAsuntos!I10/NºAsuntos!G10),(NºAsuntos!I10/NºAsuntos!G10)*11," - ")</f>
        <v>74.461538461538467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2</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14.946921443736729</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86</v>
      </c>
      <c r="D13" s="1044">
        <f>SUBTOTAL(9,D9:D12)</f>
        <v>86</v>
      </c>
      <c r="E13" s="1045">
        <f>SUBTOTAL(9,E9:E12)</f>
        <v>15</v>
      </c>
      <c r="F13" s="1046">
        <f>SUBTOTAL(9,F9:F12)</f>
        <v>13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3</v>
      </c>
      <c r="B15" s="501" t="str">
        <f>Datos!A15</f>
        <v xml:space="preserve">Seccion Instruccion Del T.I.                   </v>
      </c>
      <c r="C15" s="224">
        <f t="shared" ref="C15:C18" si="2">IF(ISNUMBER(H15-E15+F15),H15-E15+F15," - ")</f>
        <v>3288</v>
      </c>
      <c r="D15" s="224">
        <f>IF(ISNUMBER(IF(D_I="SI",Datos!I15,Datos!I15+Datos!AC15)),IF(D_I="SI",Datos!I15,Datos!I15+Datos!AC15)," - ")</f>
        <v>3372</v>
      </c>
      <c r="E15" s="225">
        <f>IF(ISNUMBER(IF(D_I="SI",Datos!J15,Datos!J15+Datos!AD15)),IF(D_I="SI",Datos!J15,Datos!J15+Datos!AD15)," - ")</f>
        <v>1804</v>
      </c>
      <c r="F15" s="225">
        <f>IF(ISNUMBER(IF(D_I="SI",Datos!K15,Datos!K15+Datos!AE15)),IF(D_I="SI",Datos!K15,Datos!K15+Datos!AE15)," - ")</f>
        <v>1795</v>
      </c>
      <c r="G15" s="1029" t="str">
        <f>IF(Datos!E15&lt;&gt;"",Datos!E15,Datos!D15)</f>
        <v>03</v>
      </c>
      <c r="H15" s="226">
        <f>IF(ISNUMBER(IF(D_I="SI",Datos!L15,Datos!L15+Datos!AF15)),IF(D_I="SI",Datos!L15,Datos!L15+Datos!AF15)," - ")</f>
        <v>3297</v>
      </c>
      <c r="I15" s="1039" t="str">
        <f>IF(ISNUMBER(Datos!AS15/Datos!BM15),Datos!AS15/Datos!BM15," - ")</f>
        <v xml:space="preserve"> - </v>
      </c>
      <c r="J15" s="1040">
        <f>IF(ISNUMBER(Datos!BY15/Datos!CN15),Datos!BY15/Datos!CN15," - ")</f>
        <v>0</v>
      </c>
      <c r="K15" s="229">
        <f t="shared" ref="K15:K18" si="3">IF(ISNUMBER((E15-F15)/C15),(E15-F15)/C15," - ")</f>
        <v>2.7372262773722629E-3</v>
      </c>
      <c r="L15" s="1020">
        <f>IF(ISNUMBER(NºAsuntos!I15/NºAsuntos!G15),(NºAsuntos!I15/NºAsuntos!G15)*11," - ")</f>
        <v>20.204456824512537</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483</v>
      </c>
      <c r="D18" s="224">
        <f>IF(ISNUMBER(IF(D_I="SI",Datos!I18,Datos!I18+Datos!AC18)),IF(D_I="SI",Datos!I18,Datos!I18+Datos!AC18)," - ")</f>
        <v>485</v>
      </c>
      <c r="E18" s="225">
        <f>IF(ISNUMBER(IF(D_I="SI",Datos!J18,Datos!J18+Datos!AD18)),IF(D_I="SI",Datos!J18,Datos!J18+Datos!AD18)," - ")</f>
        <v>233</v>
      </c>
      <c r="F18" s="225">
        <f>IF(ISNUMBER(IF(D_I="SI",Datos!K18,Datos!K18+Datos!AE18)),IF(D_I="SI",Datos!K18,Datos!K18+Datos!AE18)," - ")</f>
        <v>212</v>
      </c>
      <c r="G18" s="1029" t="str">
        <f>IF(Datos!E18&lt;&gt;"",Datos!E18,Datos!D18)</f>
        <v>37</v>
      </c>
      <c r="H18" s="226">
        <f>IF(ISNUMBER(IF(D_I="SI",Datos!L18,Datos!L18+Datos!AF18)),IF(D_I="SI",Datos!L18,Datos!L18+Datos!AF18)," - ")</f>
        <v>504</v>
      </c>
      <c r="I18" s="1039" t="str">
        <f>IF(ISNUMBER(Datos!AS18/Datos!BM18),Datos!AS18/Datos!BM18," - ")</f>
        <v xml:space="preserve"> - </v>
      </c>
      <c r="J18" s="1040" t="str">
        <f>IF(ISNUMBER((Datos!BY18+Datos!BZ18)/Datos!CN18),(Datos!BY18+Datos!BZ18)/Datos!CN18," - ")</f>
        <v xml:space="preserve"> - </v>
      </c>
      <c r="K18" s="229">
        <f t="shared" si="3"/>
        <v>4.3478260869565216E-2</v>
      </c>
      <c r="L18" s="1020">
        <f>IF(ISNUMBER(NºAsuntos!I18/NºAsuntos!G18),(NºAsuntos!I18/NºAsuntos!G18)*11," - ")</f>
        <v>26.150943396226413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3771</v>
      </c>
      <c r="D19" s="1044">
        <f>SUBTOTAL(9,D15:D18)</f>
        <v>3857</v>
      </c>
      <c r="E19" s="1045">
        <f>SUBTOTAL(9,E15:E18)</f>
        <v>2037</v>
      </c>
      <c r="F19" s="1045">
        <f>SUBTOTAL(9,F15:F18)</f>
        <v>2007</v>
      </c>
      <c r="G19" s="1047" t="str">
        <f ca="1">INDIRECT(CONCATENATE("G",ROW()-1))</f>
        <v>37</v>
      </c>
      <c r="H19" s="1048">
        <f ca="1">SUMIF(G$14:G18,G19,H$14:H18)</f>
        <v>504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3857</v>
      </c>
      <c r="D20" s="1066">
        <f>SUBTOTAL(9,D9:D19)</f>
        <v>3943</v>
      </c>
      <c r="E20" s="1067">
        <f>SUBTOTAL(9,E9:E19)</f>
        <v>2052</v>
      </c>
      <c r="F20" s="1067">
        <f>SUBTOTAL(9,F9:F19)</f>
        <v>2020</v>
      </c>
      <c r="G20" s="1068"/>
      <c r="H20" s="1069">
        <f ca="1">SUMIF(B9:B19,"TOTAL",H9:H19)</f>
        <v>504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xTJp33fvoC+8858eGRlXKM4scgsxTM+dcoNYFHRCzuhhFljudLGHY9qnSMOMKB1L+xGkvKHHwkEQS497GH+iFg==" saltValue="KvHsmje94DD4p9v4VGox5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WCePe0wFubH0y8FyvNVhbG+x4mSImhxeCU1b1ys0vM8kitNUpjclKX/1TR8sChDDw2UMBhmW/LPVbHwfFWAI9A==" saltValue="k4EuPFOhmrCwh5ROE3TZ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5872</v>
      </c>
      <c r="J9" s="180">
        <v>1632</v>
      </c>
      <c r="K9" s="180">
        <v>1664</v>
      </c>
      <c r="L9" s="180">
        <v>5961</v>
      </c>
      <c r="M9" s="180">
        <v>592</v>
      </c>
      <c r="N9" s="180">
        <v>573</v>
      </c>
      <c r="O9" s="180">
        <v>687</v>
      </c>
      <c r="P9" s="180">
        <v>463</v>
      </c>
      <c r="Q9" s="180">
        <v>167</v>
      </c>
      <c r="R9" s="180">
        <v>7109</v>
      </c>
      <c r="S9" s="180">
        <v>6730</v>
      </c>
      <c r="T9" s="180">
        <v>2385</v>
      </c>
      <c r="U9" s="180">
        <v>1844</v>
      </c>
      <c r="V9" s="180">
        <v>6980</v>
      </c>
      <c r="W9" s="180">
        <v>600</v>
      </c>
      <c r="X9" s="187">
        <v>779</v>
      </c>
      <c r="Y9" s="190">
        <v>186</v>
      </c>
      <c r="Z9" s="180">
        <v>143</v>
      </c>
      <c r="AA9" s="180">
        <v>90</v>
      </c>
      <c r="AB9" s="180">
        <v>239</v>
      </c>
      <c r="AC9" s="180">
        <v>0</v>
      </c>
      <c r="AD9" s="180">
        <v>0</v>
      </c>
      <c r="AE9" s="180">
        <v>0</v>
      </c>
      <c r="AF9" s="187">
        <v>0</v>
      </c>
      <c r="AG9" s="190">
        <v>110</v>
      </c>
      <c r="AH9" s="180">
        <v>67</v>
      </c>
      <c r="AI9" s="180">
        <v>77</v>
      </c>
      <c r="AJ9" s="191">
        <v>100</v>
      </c>
      <c r="AK9" s="179">
        <v>0</v>
      </c>
      <c r="AL9" s="180">
        <v>0</v>
      </c>
      <c r="AM9" s="180">
        <v>0</v>
      </c>
      <c r="AN9" s="187">
        <v>0</v>
      </c>
      <c r="AO9" s="257">
        <v>5</v>
      </c>
      <c r="AP9" s="153">
        <v>5</v>
      </c>
      <c r="AQ9" s="153">
        <v>5</v>
      </c>
      <c r="AR9" s="192">
        <v>5</v>
      </c>
      <c r="AS9" s="337" t="s">
        <v>763</v>
      </c>
      <c r="AT9" s="194"/>
      <c r="AU9" s="193"/>
      <c r="AV9" s="194"/>
      <c r="AW9" s="193"/>
      <c r="AX9" s="194"/>
      <c r="AY9" s="123">
        <f>IF(ISNUMBER(IF(J_V="SI",S9,S9+AG9)),IF(J_V="SI",S9,S9+AG9)," - ")</f>
        <v>6840</v>
      </c>
      <c r="AZ9" s="123">
        <f>IF(ISNUMBER(IF(J_V="SI",T9,T9+AH9)),IF(J_V="SI",T9,T9+AH9)," - ")</f>
        <v>2452</v>
      </c>
      <c r="BA9" s="124">
        <f>IF(ISNUMBER(IF(J_V="SI",U9,U9+AI9)),IF(J_V="SI",U9,U9+AI9)," - ")</f>
        <v>1921</v>
      </c>
      <c r="BB9" s="124">
        <f>IF(ISNUMBER(IF(J_V="SI",V9,V9+AJ9)),IF(J_V="SI",V9,V9+AJ9)," - ")</f>
        <v>7080</v>
      </c>
      <c r="BC9" s="125">
        <f>IF(ISNUMBER(X9),X9," - ")</f>
        <v>779</v>
      </c>
      <c r="BD9" s="126">
        <f>IF(ISNUMBER(BA9/AZ9),BA9/AZ9," - ")</f>
        <v>0.78344208809135396</v>
      </c>
      <c r="BE9" s="127">
        <f>IF(ISNUMBER(BB9/BA9),BB9/BA9, " - ")</f>
        <v>3.68558042686101</v>
      </c>
      <c r="BF9" s="127">
        <f>IF(ISNUMBER(BC9/BA9),BC9/BA9, " - ")</f>
        <v>0.40551795939614782</v>
      </c>
      <c r="BG9" s="195">
        <f>IF(ISNUMBER((AY9+AZ9)/BA9),(AY9+AZ9)/BA9," - ")</f>
        <v>4.8370640291514837</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86</v>
      </c>
      <c r="J10" s="180">
        <v>15</v>
      </c>
      <c r="K10" s="180">
        <v>13</v>
      </c>
      <c r="L10" s="180">
        <v>88</v>
      </c>
      <c r="M10" s="180">
        <v>6</v>
      </c>
      <c r="N10" s="180">
        <v>6</v>
      </c>
      <c r="O10" s="180">
        <v>8</v>
      </c>
      <c r="P10" s="180">
        <v>9</v>
      </c>
      <c r="Q10" s="180">
        <v>10</v>
      </c>
      <c r="R10" s="180">
        <v>51</v>
      </c>
      <c r="S10" s="180">
        <v>90</v>
      </c>
      <c r="T10" s="180">
        <v>17</v>
      </c>
      <c r="U10" s="180">
        <v>37</v>
      </c>
      <c r="V10" s="180">
        <v>70</v>
      </c>
      <c r="W10" s="180">
        <v>21</v>
      </c>
      <c r="X10" s="187">
        <v>12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757</v>
      </c>
      <c r="AT10" s="191"/>
      <c r="AU10" s="199"/>
      <c r="AV10" s="191"/>
      <c r="AW10" s="199"/>
      <c r="AX10" s="191"/>
      <c r="AY10" s="128">
        <f t="shared" ref="AY10:BC10" si="0">IF(ISNUMBER(S10),S10," - ")</f>
        <v>90</v>
      </c>
      <c r="AZ10" s="129">
        <f t="shared" si="0"/>
        <v>17</v>
      </c>
      <c r="BA10" s="129">
        <f t="shared" si="0"/>
        <v>37</v>
      </c>
      <c r="BB10" s="129">
        <f t="shared" si="0"/>
        <v>70</v>
      </c>
      <c r="BC10" s="125">
        <f t="shared" si="0"/>
        <v>21</v>
      </c>
      <c r="BD10" s="126">
        <f>IF(ISNUMBER(BA10/AZ10),BA10/AZ10," - ")</f>
        <v>2.1764705882352939</v>
      </c>
      <c r="BE10" s="127">
        <f>IF(ISNUMBER(BB10/BA10),BB10/BA10, " - ")</f>
        <v>1.8918918918918919</v>
      </c>
      <c r="BF10" s="127">
        <f>IF(ISNUMBER(BC10/BA10),BC10/BA10, " - ")</f>
        <v>0.56756756756756754</v>
      </c>
      <c r="BG10" s="195">
        <f>IF(ISNUMBER((AY10+AZ10)/BA10),(AY10+AZ10)/BA10," - ")</f>
        <v>2.8918918918918921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471</v>
      </c>
      <c r="J11" s="182">
        <v>315</v>
      </c>
      <c r="K11" s="182">
        <v>228</v>
      </c>
      <c r="L11" s="182">
        <v>560</v>
      </c>
      <c r="M11" s="182">
        <v>30</v>
      </c>
      <c r="N11" s="182">
        <v>381</v>
      </c>
      <c r="O11" s="180">
        <v>90</v>
      </c>
      <c r="P11" s="182">
        <v>17</v>
      </c>
      <c r="Q11" s="182">
        <v>53</v>
      </c>
      <c r="R11" s="182">
        <v>330</v>
      </c>
      <c r="S11" s="182">
        <v>803</v>
      </c>
      <c r="T11" s="182">
        <v>342</v>
      </c>
      <c r="U11" s="182">
        <v>315</v>
      </c>
      <c r="V11" s="182">
        <v>846</v>
      </c>
      <c r="W11" s="182">
        <v>94</v>
      </c>
      <c r="X11" s="188">
        <v>414</v>
      </c>
      <c r="Y11" s="190">
        <v>129</v>
      </c>
      <c r="Z11" s="180">
        <v>194</v>
      </c>
      <c r="AA11" s="180">
        <v>243</v>
      </c>
      <c r="AB11" s="180">
        <v>80</v>
      </c>
      <c r="AC11" s="182">
        <v>0</v>
      </c>
      <c r="AD11" s="182">
        <v>0</v>
      </c>
      <c r="AE11" s="182">
        <v>0</v>
      </c>
      <c r="AF11" s="188">
        <v>0</v>
      </c>
      <c r="AG11" s="201">
        <v>96</v>
      </c>
      <c r="AH11" s="182">
        <v>226</v>
      </c>
      <c r="AI11" s="182">
        <v>228</v>
      </c>
      <c r="AJ11" s="202">
        <v>73</v>
      </c>
      <c r="AK11" s="181">
        <v>0</v>
      </c>
      <c r="AL11" s="182">
        <v>0</v>
      </c>
      <c r="AM11" s="182">
        <v>0</v>
      </c>
      <c r="AN11" s="188">
        <v>0</v>
      </c>
      <c r="AO11" s="258">
        <v>2</v>
      </c>
      <c r="AP11" s="154">
        <v>2</v>
      </c>
      <c r="AQ11" s="154">
        <v>1</v>
      </c>
      <c r="AR11" s="153">
        <v>1</v>
      </c>
      <c r="AS11" s="339" t="s">
        <v>765</v>
      </c>
      <c r="AT11" s="202"/>
      <c r="AU11" s="201"/>
      <c r="AV11" s="202"/>
      <c r="AW11" s="201"/>
      <c r="AX11" s="202"/>
      <c r="AY11" s="126">
        <f t="shared" ref="AY11:BB12" si="1">IF(ISNUMBER(IF(J_V="SI",S11,S11+AG11)),IF(J_V="SI",S11,S11+AG11)," - ")</f>
        <v>899</v>
      </c>
      <c r="AZ11" s="127">
        <f t="shared" si="1"/>
        <v>568</v>
      </c>
      <c r="BA11" s="127">
        <f t="shared" si="1"/>
        <v>543</v>
      </c>
      <c r="BB11" s="127">
        <f t="shared" si="1"/>
        <v>919</v>
      </c>
      <c r="BC11" s="125">
        <f>IF(ISNUMBER(X11),X11," - ")</f>
        <v>414</v>
      </c>
      <c r="BD11" s="126">
        <f t="shared" ref="BD11:BD12" si="2">IF(ISNUMBER(BA11/AZ11),BA11/AZ11," - ")</f>
        <v>0.95598591549295775</v>
      </c>
      <c r="BE11" s="127">
        <f t="shared" ref="BE11:BE12" si="3">IF(ISNUMBER(BB11/BA11),BB11/BA11, " - ")</f>
        <v>1.6924493554327809</v>
      </c>
      <c r="BF11" s="127">
        <f t="shared" ref="BF11:BF12" si="4">IF(ISNUMBER(BC11/BA11),BC11/BA11, " - ")</f>
        <v>0.76243093922651939</v>
      </c>
      <c r="BG11" s="195">
        <f t="shared" ref="BG11:BG12" si="5">IF(ISNUMBER((AY11+AZ11)/BA11),(AY11+AZ11)/BA11," - ")</f>
        <v>2.701657458563536</v>
      </c>
      <c r="BH11" s="154">
        <v>3</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6429</v>
      </c>
      <c r="J13" s="183">
        <f t="shared" si="6"/>
        <v>1962</v>
      </c>
      <c r="K13" s="183">
        <f t="shared" si="6"/>
        <v>1905</v>
      </c>
      <c r="L13" s="183">
        <f t="shared" si="6"/>
        <v>6609</v>
      </c>
      <c r="M13" s="183">
        <f t="shared" si="6"/>
        <v>628</v>
      </c>
      <c r="N13" s="183">
        <f t="shared" si="6"/>
        <v>960</v>
      </c>
      <c r="O13" s="183">
        <f t="shared" si="6"/>
        <v>785</v>
      </c>
      <c r="P13" s="183">
        <f t="shared" si="6"/>
        <v>489</v>
      </c>
      <c r="Q13" s="183">
        <f t="shared" si="6"/>
        <v>230</v>
      </c>
      <c r="R13" s="183">
        <f t="shared" si="6"/>
        <v>7490</v>
      </c>
      <c r="S13" s="183">
        <f t="shared" si="6"/>
        <v>7623</v>
      </c>
      <c r="T13" s="183">
        <f t="shared" si="6"/>
        <v>2744</v>
      </c>
      <c r="U13" s="183">
        <f t="shared" si="6"/>
        <v>2196</v>
      </c>
      <c r="V13" s="183">
        <f t="shared" si="6"/>
        <v>7896</v>
      </c>
      <c r="W13" s="183">
        <f t="shared" si="6"/>
        <v>715</v>
      </c>
      <c r="X13" s="183">
        <f t="shared" si="6"/>
        <v>1205</v>
      </c>
      <c r="Y13" s="183">
        <f t="shared" si="6"/>
        <v>315</v>
      </c>
      <c r="Z13" s="183">
        <f t="shared" si="6"/>
        <v>337</v>
      </c>
      <c r="AA13" s="183">
        <f t="shared" si="6"/>
        <v>333</v>
      </c>
      <c r="AB13" s="183">
        <f t="shared" si="6"/>
        <v>319</v>
      </c>
      <c r="AC13" s="183">
        <f t="shared" si="6"/>
        <v>0</v>
      </c>
      <c r="AD13" s="183">
        <f t="shared" si="6"/>
        <v>0</v>
      </c>
      <c r="AE13" s="183">
        <f t="shared" si="6"/>
        <v>0</v>
      </c>
      <c r="AF13" s="183">
        <f>SUBTOTAL(9,AF9:AF12)</f>
        <v>0</v>
      </c>
      <c r="AG13" s="183">
        <f t="shared" ref="AG13:AT13" si="7">SUBTOTAL(9,AG8:AG12)</f>
        <v>206</v>
      </c>
      <c r="AH13" s="183">
        <f t="shared" si="7"/>
        <v>293</v>
      </c>
      <c r="AI13" s="183">
        <f t="shared" si="7"/>
        <v>305</v>
      </c>
      <c r="AJ13" s="183">
        <f t="shared" si="7"/>
        <v>173</v>
      </c>
      <c r="AK13" s="183">
        <f t="shared" si="7"/>
        <v>0</v>
      </c>
      <c r="AL13" s="183">
        <f t="shared" si="7"/>
        <v>0</v>
      </c>
      <c r="AM13" s="183">
        <f t="shared" si="7"/>
        <v>0</v>
      </c>
      <c r="AN13" s="183">
        <f t="shared" si="7"/>
        <v>0</v>
      </c>
      <c r="AO13" s="183">
        <f t="shared" si="7"/>
        <v>9</v>
      </c>
      <c r="AP13" s="183">
        <f t="shared" si="7"/>
        <v>8</v>
      </c>
      <c r="AQ13" s="183">
        <f t="shared" si="7"/>
        <v>7</v>
      </c>
      <c r="AR13" s="183">
        <f t="shared" si="7"/>
        <v>7</v>
      </c>
      <c r="AS13" s="183">
        <f t="shared" si="7"/>
        <v>0</v>
      </c>
      <c r="AT13" s="183">
        <f t="shared" si="7"/>
        <v>0</v>
      </c>
      <c r="AU13" s="203"/>
      <c r="AV13" s="132"/>
      <c r="AW13" s="203"/>
      <c r="AX13" s="132"/>
      <c r="AY13" s="183">
        <f>SUBTOTAL(9,AY8:AY12)</f>
        <v>7829</v>
      </c>
      <c r="AZ13" s="183">
        <f>SUBTOTAL(9,AZ8:AZ12)</f>
        <v>3037</v>
      </c>
      <c r="BA13" s="183">
        <f>SUBTOTAL(9,BA8:BA12)</f>
        <v>2501</v>
      </c>
      <c r="BB13" s="183">
        <f>SUBTOTAL(9,BB8:BB12)</f>
        <v>8069</v>
      </c>
      <c r="BC13" s="183">
        <f>SUBTOTAL(9,BC8:BC12)</f>
        <v>1214</v>
      </c>
      <c r="BD13" s="204">
        <f>IF(ISNUMBER(BA13/AZ13),BA13/AZ13," - ")</f>
        <v>0.82351004280540008</v>
      </c>
      <c r="BE13" s="205">
        <f>IF(ISNUMBER(BB13/BA13),BB13/BA13, " - ")</f>
        <v>3.2263094762095164</v>
      </c>
      <c r="BF13" s="205">
        <f>IF(ISNUMBER(BC13/BA13),BC13/BA13, " - ")</f>
        <v>0.485405837664934</v>
      </c>
      <c r="BG13" s="206">
        <f>IF(ISNUMBER((AY13+AZ13)/BA13),(AY13+AZ13)/BA13," - ")</f>
        <v>4.344662135145942</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3372</v>
      </c>
      <c r="J15" s="182">
        <v>1804</v>
      </c>
      <c r="K15" s="182">
        <v>1795</v>
      </c>
      <c r="L15" s="182">
        <v>3297</v>
      </c>
      <c r="M15" s="182">
        <v>250</v>
      </c>
      <c r="N15" s="182">
        <v>999</v>
      </c>
      <c r="O15" s="180">
        <v>29</v>
      </c>
      <c r="P15" s="182">
        <v>66</v>
      </c>
      <c r="Q15" s="182">
        <v>32</v>
      </c>
      <c r="R15" s="182">
        <v>336</v>
      </c>
      <c r="S15" s="182">
        <v>3146</v>
      </c>
      <c r="T15" s="182">
        <v>2170</v>
      </c>
      <c r="U15" s="182">
        <v>2147</v>
      </c>
      <c r="V15" s="182">
        <v>3083</v>
      </c>
      <c r="W15" s="182">
        <v>270</v>
      </c>
      <c r="X15" s="188">
        <v>1190</v>
      </c>
      <c r="Y15" s="201">
        <v>0</v>
      </c>
      <c r="Z15" s="182">
        <v>0</v>
      </c>
      <c r="AA15" s="182">
        <v>0</v>
      </c>
      <c r="AB15" s="182">
        <v>0</v>
      </c>
      <c r="AC15" s="182">
        <v>0</v>
      </c>
      <c r="AD15" s="182">
        <v>0</v>
      </c>
      <c r="AE15" s="182">
        <v>0</v>
      </c>
      <c r="AF15" s="188">
        <v>0</v>
      </c>
      <c r="AG15" s="201">
        <v>0</v>
      </c>
      <c r="AH15" s="182">
        <v>0</v>
      </c>
      <c r="AI15" s="182">
        <v>0</v>
      </c>
      <c r="AJ15" s="202">
        <v>0</v>
      </c>
      <c r="AK15" s="181">
        <v>0</v>
      </c>
      <c r="AL15" s="182">
        <v>8</v>
      </c>
      <c r="AM15" s="182">
        <v>8</v>
      </c>
      <c r="AN15" s="188">
        <v>0</v>
      </c>
      <c r="AO15" s="258">
        <v>3</v>
      </c>
      <c r="AP15" s="154">
        <v>3</v>
      </c>
      <c r="AQ15" s="154">
        <v>3</v>
      </c>
      <c r="AR15" s="154">
        <v>3</v>
      </c>
      <c r="AS15" s="339" t="s">
        <v>520</v>
      </c>
      <c r="AT15" s="202" t="s">
        <v>327</v>
      </c>
      <c r="AU15" s="201"/>
      <c r="AV15" s="202"/>
      <c r="AW15" s="201"/>
      <c r="AX15" s="202"/>
      <c r="AY15" s="128">
        <f t="shared" ref="AY15:BB17" si="9">IF(ISNUMBER(IF(D_I="SI",S15,S15+AK15)),IF(D_I="SI",S15,S15+AK15)," - ")</f>
        <v>3146</v>
      </c>
      <c r="AZ15" s="129">
        <f t="shared" si="9"/>
        <v>2170</v>
      </c>
      <c r="BA15" s="129">
        <f t="shared" si="9"/>
        <v>2147</v>
      </c>
      <c r="BB15" s="129">
        <f t="shared" si="9"/>
        <v>3083</v>
      </c>
      <c r="BC15" s="125">
        <f>IF(ISNUMBER(W15),W15," - ")</f>
        <v>270</v>
      </c>
      <c r="BD15" s="126">
        <f>IF(ISNUMBER(BA15/AZ15),BA15/AZ15," - ")</f>
        <v>0.98940092165898619</v>
      </c>
      <c r="BE15" s="127">
        <f>IF(ISNUMBER(BB15/BA15),BB15/BA15, " - ")</f>
        <v>1.4359571495109456</v>
      </c>
      <c r="BF15" s="127">
        <f>IF(ISNUMBER(BC15/BA15),BC15/BA15, " - ")</f>
        <v>0.12575687005123429</v>
      </c>
      <c r="BG15" s="195">
        <f t="shared" ref="BG15:BG17" si="10">IF(ISNUMBER((AY15+AZ15)/BA15),(AY15+AZ15)/BA15," - ")</f>
        <v>2.4760130414531907</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485</v>
      </c>
      <c r="J18" s="182">
        <v>233</v>
      </c>
      <c r="K18" s="182">
        <v>212</v>
      </c>
      <c r="L18" s="182">
        <v>504</v>
      </c>
      <c r="M18" s="182">
        <v>47</v>
      </c>
      <c r="N18" s="182">
        <v>103</v>
      </c>
      <c r="O18" s="182">
        <v>3</v>
      </c>
      <c r="P18" s="182">
        <v>1</v>
      </c>
      <c r="Q18" s="182">
        <v>3</v>
      </c>
      <c r="R18" s="182">
        <v>0</v>
      </c>
      <c r="S18" s="182">
        <v>331</v>
      </c>
      <c r="T18" s="182">
        <v>142</v>
      </c>
      <c r="U18" s="182">
        <v>117</v>
      </c>
      <c r="V18" s="182">
        <v>356</v>
      </c>
      <c r="W18" s="182">
        <v>11</v>
      </c>
      <c r="X18" s="188">
        <v>68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1</v>
      </c>
      <c r="AQ18" s="153">
        <v>1</v>
      </c>
      <c r="AR18" s="154">
        <v>1</v>
      </c>
      <c r="AS18" s="338" t="s">
        <v>880</v>
      </c>
      <c r="AT18" s="208"/>
      <c r="AU18" s="199"/>
      <c r="AV18" s="208"/>
      <c r="AW18" s="199"/>
      <c r="AX18" s="208"/>
      <c r="AY18" s="128">
        <f t="shared" ref="AY18:BB18" si="19">IF(ISNUMBER(S18),S18," - ")</f>
        <v>331</v>
      </c>
      <c r="AZ18" s="129">
        <f t="shared" si="19"/>
        <v>142</v>
      </c>
      <c r="BA18" s="129">
        <f t="shared" si="19"/>
        <v>117</v>
      </c>
      <c r="BB18" s="129">
        <f t="shared" si="19"/>
        <v>356</v>
      </c>
      <c r="BC18" s="125">
        <f>IF(ISNUMBER(W18),W18," - ")</f>
        <v>11</v>
      </c>
      <c r="BD18" s="126">
        <f>IF(ISNUMBER(BA18/AZ18),BA18/AZ18," - ")</f>
        <v>0.823943661971831</v>
      </c>
      <c r="BE18" s="127">
        <f>IF(ISNUMBER(BB18/BA18),BB18/BA18, " - ")</f>
        <v>3.0427350427350426</v>
      </c>
      <c r="BF18" s="127">
        <f>IF(ISNUMBER(BC18/BA18),BC18/BA18, " - ")</f>
        <v>9.4017094017094016E-2</v>
      </c>
      <c r="BG18" s="195">
        <f>IF(ISNUMBER((AY18+AZ18)/BA18),(AY18+AZ18)/BA18," - ")</f>
        <v>4.0427350427350426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3857</v>
      </c>
      <c r="J19" s="183">
        <f t="shared" si="20"/>
        <v>2037</v>
      </c>
      <c r="K19" s="183">
        <f t="shared" si="20"/>
        <v>2007</v>
      </c>
      <c r="L19" s="183">
        <f t="shared" si="20"/>
        <v>3801</v>
      </c>
      <c r="M19" s="183">
        <f t="shared" si="20"/>
        <v>297</v>
      </c>
      <c r="N19" s="183">
        <f t="shared" si="20"/>
        <v>1102</v>
      </c>
      <c r="O19" s="183">
        <f t="shared" si="20"/>
        <v>32</v>
      </c>
      <c r="P19" s="183">
        <f t="shared" si="20"/>
        <v>67</v>
      </c>
      <c r="Q19" s="183">
        <f t="shared" si="20"/>
        <v>35</v>
      </c>
      <c r="R19" s="183">
        <f t="shared" si="20"/>
        <v>336</v>
      </c>
      <c r="S19" s="183">
        <f t="shared" si="20"/>
        <v>3477</v>
      </c>
      <c r="T19" s="183">
        <f t="shared" si="20"/>
        <v>2312</v>
      </c>
      <c r="U19" s="183">
        <f t="shared" si="20"/>
        <v>2264</v>
      </c>
      <c r="V19" s="183">
        <f t="shared" si="20"/>
        <v>3439</v>
      </c>
      <c r="W19" s="183">
        <f t="shared" si="20"/>
        <v>281</v>
      </c>
      <c r="X19" s="183">
        <f t="shared" si="20"/>
        <v>1258</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8</v>
      </c>
      <c r="AM19" s="183">
        <f t="shared" si="20"/>
        <v>8</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3477</v>
      </c>
      <c r="AZ19" s="183">
        <f>SUBTOTAL(9,AZ14:AZ18)</f>
        <v>2312</v>
      </c>
      <c r="BA19" s="183">
        <f>SUBTOTAL(9,BA14:BA18)</f>
        <v>2264</v>
      </c>
      <c r="BB19" s="183">
        <f>SUBTOTAL(9,BB14:BB18)</f>
        <v>3439</v>
      </c>
      <c r="BC19" s="183">
        <f>SUBTOTAL(9,BC14:BC18)</f>
        <v>281</v>
      </c>
      <c r="BD19" s="204">
        <f>IF(ISNUMBER(BA19/AZ19),BA19/AZ19," - ")</f>
        <v>0.97923875432525953</v>
      </c>
      <c r="BE19" s="205">
        <f>IF(ISNUMBER(BB19/BA19),BB19/BA19, " - ")</f>
        <v>1.5189929328621907</v>
      </c>
      <c r="BF19" s="205">
        <f>IF(ISNUMBER(BC19/BA19),BC19/BA19, " - ")</f>
        <v>0.12411660777385158</v>
      </c>
      <c r="BG19" s="206">
        <f>IF(ISNUMBER((AY19+AZ19)/BA19),(AY19+AZ19)/BA19," - ")</f>
        <v>2.5569787985865724</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10286</v>
      </c>
      <c r="J20" s="134">
        <f t="shared" si="23"/>
        <v>3999</v>
      </c>
      <c r="K20" s="134">
        <f t="shared" si="23"/>
        <v>3912</v>
      </c>
      <c r="L20" s="134">
        <f t="shared" si="23"/>
        <v>10410</v>
      </c>
      <c r="M20" s="134">
        <f t="shared" si="23"/>
        <v>925</v>
      </c>
      <c r="N20" s="134">
        <f t="shared" si="23"/>
        <v>2062</v>
      </c>
      <c r="O20" s="134">
        <f t="shared" si="23"/>
        <v>817</v>
      </c>
      <c r="P20" s="134">
        <f t="shared" si="23"/>
        <v>556</v>
      </c>
      <c r="Q20" s="134">
        <f t="shared" si="23"/>
        <v>265</v>
      </c>
      <c r="R20" s="134">
        <f t="shared" si="23"/>
        <v>7826</v>
      </c>
      <c r="S20" s="134">
        <f t="shared" si="23"/>
        <v>11100</v>
      </c>
      <c r="T20" s="134">
        <f t="shared" si="23"/>
        <v>5056</v>
      </c>
      <c r="U20" s="134">
        <f t="shared" si="23"/>
        <v>4460</v>
      </c>
      <c r="V20" s="134">
        <f t="shared" si="23"/>
        <v>11335</v>
      </c>
      <c r="W20" s="134">
        <f t="shared" si="23"/>
        <v>996</v>
      </c>
      <c r="X20" s="134">
        <f t="shared" si="23"/>
        <v>2463</v>
      </c>
      <c r="Y20" s="134">
        <f t="shared" si="23"/>
        <v>315</v>
      </c>
      <c r="Z20" s="134">
        <f t="shared" si="23"/>
        <v>337</v>
      </c>
      <c r="AA20" s="134">
        <f t="shared" si="23"/>
        <v>333</v>
      </c>
      <c r="AB20" s="134">
        <f t="shared" si="23"/>
        <v>319</v>
      </c>
      <c r="AC20" s="134">
        <f t="shared" si="23"/>
        <v>0</v>
      </c>
      <c r="AD20" s="134">
        <f t="shared" si="23"/>
        <v>0</v>
      </c>
      <c r="AE20" s="134">
        <f t="shared" si="23"/>
        <v>0</v>
      </c>
      <c r="AF20" s="134">
        <f t="shared" si="23"/>
        <v>0</v>
      </c>
      <c r="AG20" s="134">
        <f t="shared" si="23"/>
        <v>206</v>
      </c>
      <c r="AH20" s="134">
        <f t="shared" si="23"/>
        <v>293</v>
      </c>
      <c r="AI20" s="134">
        <f t="shared" si="23"/>
        <v>305</v>
      </c>
      <c r="AJ20" s="134">
        <f t="shared" si="23"/>
        <v>173</v>
      </c>
      <c r="AK20" s="134">
        <f t="shared" si="23"/>
        <v>0</v>
      </c>
      <c r="AL20" s="134">
        <f t="shared" si="23"/>
        <v>8</v>
      </c>
      <c r="AM20" s="134">
        <f t="shared" si="23"/>
        <v>8</v>
      </c>
      <c r="AN20" s="209">
        <f t="shared" si="23"/>
        <v>0</v>
      </c>
      <c r="AO20" s="210">
        <v>12</v>
      </c>
      <c r="AP20" s="210">
        <v>11</v>
      </c>
      <c r="AQ20" s="210">
        <v>10</v>
      </c>
      <c r="AR20" s="210">
        <v>10</v>
      </c>
      <c r="AS20" s="152">
        <f t="shared" si="23"/>
        <v>0</v>
      </c>
      <c r="AT20" s="152">
        <f t="shared" si="23"/>
        <v>0</v>
      </c>
      <c r="AU20" s="210"/>
      <c r="AV20" s="211"/>
      <c r="AW20" s="210"/>
      <c r="AX20" s="211"/>
      <c r="AY20" s="133">
        <f>SUBTOTAL(9,AY9:AY19)</f>
        <v>11306</v>
      </c>
      <c r="AZ20" s="134">
        <f>SUBTOTAL(9,AZ9:AZ19)</f>
        <v>5349</v>
      </c>
      <c r="BA20" s="134">
        <f>SUBTOTAL(9,BA9:BA19)</f>
        <v>4765</v>
      </c>
      <c r="BB20" s="134">
        <f>SUBTOTAL(9,BB9:BB19)</f>
        <v>11508</v>
      </c>
      <c r="BC20" s="135">
        <f>SUBTOTAL(9,BC9:BC19)</f>
        <v>1495</v>
      </c>
      <c r="BD20" s="212">
        <f>IF(ISNUMBER(BA20/AZ20),BA20/AZ20," - ")</f>
        <v>0.89082071415217801</v>
      </c>
      <c r="BE20" s="209">
        <f>IF(ISNUMBER(BB20/BA20),BB20/BA20, " - ")</f>
        <v>2.4151101783840505</v>
      </c>
      <c r="BF20" s="209">
        <f>IF(ISNUMBER(BC20/BA20),BC20/BA20, " - ")</f>
        <v>0.31374606505771246</v>
      </c>
      <c r="BG20" s="135">
        <f>IF(ISNUMBER((AY20+AZ20)/BA20),(AY20+AZ20)/BA20," - ")</f>
        <v>3.4952780692549843</v>
      </c>
      <c r="BH20" s="210">
        <f>SUBTOTAL(9,BH9:BH19)</f>
        <v>13</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1ap0vn4tnwaYb7TJ5iEIuSJm4jo58LHnwNSVPkVRTnh2k5A8vxxUuW3AEORbTYJE2Ou+s5q4RX9TIcjsZO4zA==" saltValue="Zu31InCwuIRcw1K5pxfor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quqHi2ey1MpLNrF77aR0wuHx+u8vQg8FgmPt/SlltRN3Q3ciX7Dz0LDEgQn0OrRdHvP840nBKAR4KV3E3rWeQ==" saltValue="shnh06MlmoV7RdY2I+rBI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A CORUÑA  Resumenes por Partidos Judiciales  SANTIAGO DE COMPOSTELA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5</v>
      </c>
      <c r="B9" s="1275" t="s">
        <v>247</v>
      </c>
      <c r="C9" s="1200" t="str">
        <f>Datos!A9</f>
        <v>Sección Civil del T.I</v>
      </c>
      <c r="D9" s="1276"/>
      <c r="E9" s="1226">
        <f>IF(ISNUMBER(Datos!AQ9),Datos!AQ9," - ")</f>
        <v>5</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143</v>
      </c>
      <c r="O9" s="1247"/>
      <c r="P9" s="1247"/>
      <c r="Q9" s="1215">
        <f>IF(ISNUMBER(Datos!P9),Datos!P9,0)</f>
        <v>463</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167</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239</v>
      </c>
      <c r="AI9" s="1247" t="str">
        <f>IF(ISNUMBER(Datos!CD9),Datos!CD9,"-")</f>
        <v>-</v>
      </c>
      <c r="AJ9" s="1247" t="str">
        <f>IF(ISNUMBER(Datos!EN9),Datos!EN9," - ")</f>
        <v xml:space="preserve"> - </v>
      </c>
      <c r="AK9" s="1247"/>
      <c r="AL9" s="1258"/>
      <c r="AM9" s="1248">
        <f>IF(ISNUMBER(Datos!R9),Datos!R9," - ")</f>
        <v>7109</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592</v>
      </c>
      <c r="BD9" s="1218">
        <f>IF(ISNUMBER(Datos!N9),Datos!N9," - ")</f>
        <v>573</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0.98816901408450708</v>
      </c>
      <c r="BH9" s="1226">
        <f>IF(ISNUMBER(((IF(J_V="SI",Datos!L9/Datos!K9,(Datos!L9+Datos!AB9)/(Datos!K9+Datos!AA9)))*11)/factor_trimestre),((IF(J_V="SI",Datos!L9/Datos!K9,(Datos!L9+Datos!AB9)/(Datos!K9+Datos!AA9)))*11)/factor_trimestre," - ")</f>
        <v>10.604332953249715</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4.3446352561279905E-2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1</v>
      </c>
      <c r="F10" s="1214">
        <f>IF(ISNUMBER(Datos!L10+Datos!K10-Datos!J10),Datos!L10+Datos!K10-Datos!J10," - ")</f>
        <v>86</v>
      </c>
      <c r="G10" s="1246">
        <f>IF(ISNUMBER(Datos!I10),Datos!I10," - ")</f>
        <v>86</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9</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13</v>
      </c>
      <c r="AC10" s="1215">
        <f>IF(ISNUMBER(Datos!Q10),Datos!Q10," - ")</f>
        <v>10</v>
      </c>
      <c r="AD10" s="1247"/>
      <c r="AE10" s="1262"/>
      <c r="AF10" s="1245">
        <f>IF(ISNUMBER(Datos!L10),Datos!L10,"-")</f>
        <v>88</v>
      </c>
      <c r="AG10" s="1247"/>
      <c r="AH10" s="1247"/>
      <c r="AI10" s="1247"/>
      <c r="AJ10" s="1247"/>
      <c r="AK10" s="1247"/>
      <c r="AL10" s="1258"/>
      <c r="AM10" s="1248">
        <f>IF(ISNUMBER(Datos!R10),Datos!R10," - ")</f>
        <v>51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6</v>
      </c>
      <c r="BD10" s="1218">
        <f>IF(ISNUMBER(Datos!N10),Datos!N10," - ")</f>
        <v>6</v>
      </c>
      <c r="BE10" s="1218" t="str">
        <f>IF(ISNUMBER(Datos!BW10),Datos!BW10," - ")</f>
        <v xml:space="preserve"> - </v>
      </c>
      <c r="BF10" s="1217" t="str">
        <f>IF(ISNUMBER(Datos!BX10),Datos!BX10," - ")</f>
        <v xml:space="preserve"> - </v>
      </c>
      <c r="BG10" s="1223">
        <f>IF(ISNUMBER(Datos!K10/Datos!J10),Datos!K10/Datos!J10," - ")</f>
        <v>0.8666666666666667</v>
      </c>
      <c r="BH10" s="1226">
        <f>IF(ISNUMBER(((Datos!L10/Datos!K10)*11)/factor_trimestre),((Datos!L10/Datos!K10)*11)/factor_trimestre," - ")</f>
        <v>20.30769230769231</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-1.9230769230769232E-2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2</v>
      </c>
      <c r="B11" s="1280" t="s">
        <v>247</v>
      </c>
      <c r="C11" s="1193" t="str">
        <f>Datos!A11</f>
        <v xml:space="preserve">Sección de Familia, infancia e incapacidad del TI                           </v>
      </c>
      <c r="D11" s="1281"/>
      <c r="E11" s="1226">
        <f>IF(ISNUMBER(Datos!AQ11),Datos!AQ11," - ")</f>
        <v>1</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194</v>
      </c>
      <c r="O11" s="1247"/>
      <c r="P11" s="1247"/>
      <c r="Q11" s="1215">
        <f>IF(ISNUMBER(Datos!P11),Datos!P11,0)</f>
        <v>17</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53</v>
      </c>
      <c r="AD11" s="1247"/>
      <c r="AE11" s="1262"/>
      <c r="AF11" s="1245" t="str">
        <f>IF(ISNUMBER(IF(J_V="SI",Datos!L11,Datos!L11+Datos!AB11)-IF(Monitorios="SI",Datos!CD11,0)),
                          IF(J_V="SI",Datos!L11,Datos!L11+Datos!AB11)-IF(Monitorios="SI",Datos!CD11,0),
                          " - ")</f>
        <v xml:space="preserve"> - </v>
      </c>
      <c r="AG11" s="1247"/>
      <c r="AH11" s="1247">
        <f>IF(ISNUMBER(Datos!AB11),Datos!AB11,"-")</f>
        <v>80</v>
      </c>
      <c r="AI11" s="1247"/>
      <c r="AJ11" s="1247"/>
      <c r="AK11" s="1247"/>
      <c r="AL11" s="1258"/>
      <c r="AM11" s="1248">
        <f>IF(ISNUMBER(Datos!R11),Datos!R11," - ")</f>
        <v>330</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30</v>
      </c>
      <c r="BD11" s="1218">
        <f>IF(ISNUMBER(Datos!N11),Datos!N11," - ")</f>
        <v>381</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0.92534381139489197</v>
      </c>
      <c r="BH11" s="1226">
        <f>IF(ISNUMBER(((IF(J_V="SI",Datos!L11/Datos!K11,(Datos!L11+Datos!AB11)/(Datos!K11+Datos!AA11)))*11)/factor_trimestre),((IF(J_V="SI",Datos!L11/Datos!K11,(Datos!L11+Datos!AB11)/(Datos!K11+Datos!AA11)))*11)/factor_trimestre," - ")</f>
        <v>4.0764331210191083</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-9.8360655737704916E-2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7</v>
      </c>
      <c r="F13" s="1391">
        <f t="shared" si="0"/>
        <v>86</v>
      </c>
      <c r="G13" s="1391">
        <f t="shared" si="0"/>
        <v>86</v>
      </c>
      <c r="H13" s="1392">
        <f t="shared" si="0"/>
        <v>0</v>
      </c>
      <c r="I13" s="1391">
        <f t="shared" si="0"/>
        <v>0</v>
      </c>
      <c r="J13" s="1383">
        <f t="shared" si="0"/>
        <v>0</v>
      </c>
      <c r="K13" s="1383">
        <f t="shared" si="0"/>
        <v>0</v>
      </c>
      <c r="L13" s="1392">
        <f t="shared" si="0"/>
        <v>0</v>
      </c>
      <c r="M13" s="1392">
        <f t="shared" si="0"/>
        <v>0</v>
      </c>
      <c r="N13" s="1392">
        <f t="shared" si="0"/>
        <v>337</v>
      </c>
      <c r="O13" s="1393">
        <f t="shared" si="0"/>
        <v>0</v>
      </c>
      <c r="P13" s="1393">
        <f t="shared" si="0"/>
        <v>0</v>
      </c>
      <c r="Q13" s="1392">
        <f t="shared" si="0"/>
        <v>489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13</v>
      </c>
      <c r="AC13" s="1392">
        <f t="shared" si="1"/>
        <v>230</v>
      </c>
      <c r="AD13" s="1392">
        <f t="shared" si="1"/>
        <v>0</v>
      </c>
      <c r="AE13" s="1392">
        <f t="shared" si="1"/>
        <v>0</v>
      </c>
      <c r="AF13" s="1392">
        <f t="shared" si="1"/>
        <v>88</v>
      </c>
      <c r="AG13" s="1392">
        <f t="shared" si="1"/>
        <v>0</v>
      </c>
      <c r="AH13" s="1392">
        <f t="shared" si="1"/>
        <v>319</v>
      </c>
      <c r="AI13" s="1392">
        <f t="shared" si="1"/>
        <v>0</v>
      </c>
      <c r="AJ13" s="1392">
        <f t="shared" si="1"/>
        <v>0</v>
      </c>
      <c r="AK13" s="1392">
        <f t="shared" si="1"/>
        <v>0</v>
      </c>
      <c r="AL13" s="1392">
        <f t="shared" si="1"/>
        <v>0</v>
      </c>
      <c r="AM13" s="1392">
        <f t="shared" si="1"/>
        <v>7490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628</v>
      </c>
      <c r="BD13" s="1392">
        <f t="shared" si="1"/>
        <v>960</v>
      </c>
      <c r="BE13" s="1392">
        <f t="shared" si="1"/>
        <v>0</v>
      </c>
      <c r="BF13" s="1392">
        <f t="shared" si="1"/>
        <v>0</v>
      </c>
      <c r="BG13" s="1392">
        <f>IF(ISNUMBER(Datos!K13/Datos!J13),Datos!K13/Datos!J13," - ")</f>
        <v>0.97094801223241589</v>
      </c>
      <c r="BH13" s="1396">
        <f>IF(ISNUMBER(((Datos!L13/Datos!K13)*11)/factor_trimestre),((Datos!L13/Datos!K13)*11)/factor_trimestre," - ")</f>
        <v>10.407874015748032</v>
      </c>
      <c r="BI13" s="1392">
        <f>IF(ISNUMBER('Resol  Asuntos'!D13/NºAsuntos!G13),'Resol  Asuntos'!D13/NºAsuntos!G13," - ")</f>
        <v>0.28060768543342268</v>
      </c>
      <c r="BJ13" s="1392" t="str">
        <f>IF(ISNUMBER(Datos!CI13/Datos!CJ13),Datos!CI13/Datos!CJ13," - ")</f>
        <v xml:space="preserve"> - </v>
      </c>
      <c r="BK13" s="1392">
        <f>SUBTOTAL(9,BK8:BK12)</f>
        <v>0</v>
      </c>
      <c r="BL13" s="1392">
        <f>IF(ISNUMBER((I13-AB13+L13)/(F13)),(I13-AB13+L13)/(F13)," - ")</f>
        <v>-0.15116279069767441</v>
      </c>
      <c r="BM13" s="1397">
        <f>SUBTOTAL(9,BM9:BM12)</f>
        <v>-7.4145072407194243E-2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3</v>
      </c>
      <c r="B15" s="1331" t="s">
        <v>397</v>
      </c>
      <c r="C15" s="1337" t="str">
        <f>Datos!A15</f>
        <v xml:space="preserve">Seccion Instruccion Del T.I.                   </v>
      </c>
      <c r="D15" s="1338"/>
      <c r="E15" s="1435">
        <f>IF(ISNUMBER(Datos!AQ15),Datos!AQ15," - ")</f>
        <v>3</v>
      </c>
      <c r="F15" s="1332">
        <f>IF(ISNUMBER(AF15+AB15-Datos!J15-L15),AF15+AB15-Datos!J15-L15," - ")</f>
        <v>3288</v>
      </c>
      <c r="G15" s="1335">
        <f>IF(ISNUMBER(IF(D_I="SI",Datos!I15,Datos!I15+Datos!AC15)),IF(D_I="SI",Datos!I15,Datos!I15+Datos!AC15)," - ")</f>
        <v>3372</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66</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1795</v>
      </c>
      <c r="AC15" s="1215">
        <f>IF(ISNUMBER(Datos!Q15),Datos!Q15," - ")</f>
        <v>32</v>
      </c>
      <c r="AD15" s="1247"/>
      <c r="AE15" s="1262"/>
      <c r="AF15" s="1333">
        <f>IF(ISNUMBER(IF(D_I="SI",Datos!L15,Datos!L15+Datos!AF15)),IF(D_I="SI",Datos!L15,Datos!L15+Datos!AF15)," - ")</f>
        <v>3297</v>
      </c>
      <c r="AG15" s="1247"/>
      <c r="AH15" s="1247"/>
      <c r="AI15" s="1247"/>
      <c r="AJ15" s="1247"/>
      <c r="AK15" s="1247"/>
      <c r="AL15" s="1258"/>
      <c r="AM15" s="1248">
        <f>IF(ISNUMBER(Datos!R15),Datos!R15," - ")</f>
        <v>336</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250</v>
      </c>
      <c r="BD15" s="1218">
        <f>IF(ISNUMBER(Datos!N15),Datos!N15," - ")</f>
        <v>999</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0.99501108647450109</v>
      </c>
      <c r="BH15" s="1226">
        <f>IF(ISNUMBER(((IF(D_I="SI",Datos!L15/Datos!K15,(Datos!L15+Datos!AF15)/(Datos!K15+Datos!AE15)))*11)/factor_trimestre),((IF(D_I="SI",Datos!L15/Datos!K15,(Datos!L15+Datos!AF15)/(Datos!K15+Datos!AE15)))*11)/factor_trimestre," - ")</f>
        <v>5.5103064066852374</v>
      </c>
      <c r="BI15" s="1223">
        <f>IF(ISNUMBER('Resol  Asuntos'!D15/NºAsuntos!G15),'Resol  Asuntos'!D15/NºAsuntos!G15," - ")</f>
        <v>0.1392757660167131</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485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212</v>
      </c>
      <c r="AC18" s="1215">
        <f>IF(ISNUMBER(Datos!Q18),Datos!Q18," - ")</f>
        <v>3</v>
      </c>
      <c r="AD18" s="1247"/>
      <c r="AE18" s="1262"/>
      <c r="AF18" s="1245">
        <f>IF(ISNUMBER(Datos!L18),Datos!L18,"-")</f>
        <v>504</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47</v>
      </c>
      <c r="BD18" s="1218">
        <f>IF(ISNUMBER(Datos!N18),Datos!N18," - ")</f>
        <v>103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0.90987124463519309</v>
      </c>
      <c r="BH18" s="1226">
        <f>IF(ISNUMBER(((IF(D_I="SI",Datos!L18/Datos!K18,(Datos!L18+Datos!AF18)/(Datos!K18+Datos!AE18)))*11)/factor_trimestre),((IF(D_I="SI",Datos!L18/Datos!K18,(Datos!L18+Datos!AF18)/(Datos!K18+Datos!AE18)))*11)/factor_trimestre," - ")</f>
        <v>7.132075471698113</v>
      </c>
      <c r="BI18" s="1223">
        <f>IF(ISNUMBER('Resol  Asuntos'!D18/NºAsuntos!G18),'Resol  Asuntos'!D18/NºAsuntos!G18," - ")</f>
        <v>0.22169811320754718</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3288</v>
      </c>
      <c r="G19" s="1391">
        <f>SUBTOTAL(9,G15:G18)</f>
        <v>3857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67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2007</v>
      </c>
      <c r="AC19" s="1392">
        <f t="shared" si="4"/>
        <v>35</v>
      </c>
      <c r="AD19" s="1392">
        <f t="shared" si="4"/>
        <v>0</v>
      </c>
      <c r="AE19" s="1392">
        <f t="shared" si="4"/>
        <v>0</v>
      </c>
      <c r="AF19" s="1392">
        <f t="shared" si="4"/>
        <v>3801</v>
      </c>
      <c r="AG19" s="1392">
        <f t="shared" si="4"/>
        <v>0</v>
      </c>
      <c r="AH19" s="1392">
        <f t="shared" si="4"/>
        <v>0</v>
      </c>
      <c r="AI19" s="1392">
        <f t="shared" si="4"/>
        <v>0</v>
      </c>
      <c r="AJ19" s="1392">
        <f t="shared" si="4"/>
        <v>0</v>
      </c>
      <c r="AK19" s="1392">
        <f t="shared" si="4"/>
        <v>0</v>
      </c>
      <c r="AL19" s="1392">
        <f t="shared" si="4"/>
        <v>0</v>
      </c>
      <c r="AM19" s="1392">
        <f t="shared" si="4"/>
        <v>336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297</v>
      </c>
      <c r="BD19" s="1392">
        <f t="shared" si="4"/>
        <v>1102</v>
      </c>
      <c r="BE19" s="1392">
        <f t="shared" si="4"/>
        <v>0</v>
      </c>
      <c r="BF19" s="1392">
        <f t="shared" si="4"/>
        <v>0</v>
      </c>
      <c r="BG19" s="1392">
        <f>IF(ISNUMBER(Datos!K19/Datos!J19),Datos!K19/Datos!J19," - ")</f>
        <v>0.98527245949926368</v>
      </c>
      <c r="BH19" s="1396">
        <f>IF(ISNUMBER(((Datos!L19/Datos!K19)*11)/factor_trimestre),((Datos!L19/Datos!K19)*11)/factor_trimestre," - ")</f>
        <v>5.6816143497757849</v>
      </c>
      <c r="BI19" s="1392">
        <f>SUBTOTAL(9,BI15:BI18)</f>
        <v>0.36097387922426027</v>
      </c>
      <c r="BJ19" s="1392">
        <f>SUBTOTAL(9,BJ15:BJ18)</f>
        <v>0</v>
      </c>
      <c r="BK19" s="1392">
        <f>SUBTOTAL(9,BK15:BK18)</f>
        <v>0</v>
      </c>
      <c r="BL19" s="1392">
        <f>IF(ISNUMBER((I19-AB19+L19)/(F19)),(I19-AB19+L19)/(F19)," - ")</f>
        <v>-0.61040145985401462</v>
      </c>
      <c r="BM19" s="1398">
        <f>IF(ISNUMBER((Datos!P19-Datos!Q19)/(Datos!R19-Datos!P19+Datos!Q19)),(Datos!P19-Datos!Q19)/(Datos!R19-Datos!P19+Datos!Q19)," - ")</f>
        <v>0.10526315789473684</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11</v>
      </c>
      <c r="F20" s="1367">
        <f t="shared" si="6"/>
        <v>3374</v>
      </c>
      <c r="G20" s="1367">
        <f t="shared" si="6"/>
        <v>3943</v>
      </c>
      <c r="H20" s="1369">
        <f t="shared" si="6"/>
        <v>0</v>
      </c>
      <c r="I20" s="1367">
        <f t="shared" si="6"/>
        <v>0</v>
      </c>
      <c r="J20" s="1369">
        <f t="shared" si="6"/>
        <v>0</v>
      </c>
      <c r="K20" s="1369">
        <f t="shared" si="6"/>
        <v>0</v>
      </c>
      <c r="L20" s="1386">
        <f t="shared" si="6"/>
        <v>0</v>
      </c>
      <c r="M20" s="1386">
        <f t="shared" si="6"/>
        <v>0</v>
      </c>
      <c r="N20" s="1386">
        <f t="shared" si="6"/>
        <v>337</v>
      </c>
      <c r="O20" s="1386">
        <f t="shared" si="6"/>
        <v>0</v>
      </c>
      <c r="P20" s="1386">
        <f t="shared" si="6"/>
        <v>0</v>
      </c>
      <c r="Q20" s="1369">
        <f t="shared" si="6"/>
        <v>556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2020</v>
      </c>
      <c r="AC20" s="1368">
        <f t="shared" si="7"/>
        <v>265</v>
      </c>
      <c r="AD20" s="1368">
        <f t="shared" si="7"/>
        <v>0</v>
      </c>
      <c r="AE20" s="1368">
        <f t="shared" si="7"/>
        <v>0</v>
      </c>
      <c r="AF20" s="1371">
        <f t="shared" si="7"/>
        <v>3889</v>
      </c>
      <c r="AG20" s="1371">
        <f t="shared" si="7"/>
        <v>0</v>
      </c>
      <c r="AH20" s="1371">
        <f t="shared" si="7"/>
        <v>319</v>
      </c>
      <c r="AI20" s="1371">
        <f t="shared" si="7"/>
        <v>0</v>
      </c>
      <c r="AJ20" s="1368">
        <f t="shared" si="7"/>
        <v>0</v>
      </c>
      <c r="AK20" s="1371">
        <f t="shared" si="7"/>
        <v>0</v>
      </c>
      <c r="AL20" s="1371">
        <f t="shared" si="7"/>
        <v>0</v>
      </c>
      <c r="AM20" s="1371">
        <f t="shared" si="7"/>
        <v>7826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925</v>
      </c>
      <c r="BD20" s="1367">
        <f t="shared" si="7"/>
        <v>2062</v>
      </c>
      <c r="BE20" s="1367">
        <f t="shared" si="7"/>
        <v>0</v>
      </c>
      <c r="BF20" s="1373">
        <f t="shared" si="7"/>
        <v>0</v>
      </c>
      <c r="BG20" s="1404">
        <f>IF(ISNUMBER(Datos!K20/Datos!J20),Datos!K20/Datos!J20," - ")</f>
        <v>0.97824456114028502</v>
      </c>
      <c r="BH20" s="1404">
        <f>IF(ISNUMBER(((Datos!L20/Datos!K20)*11)/factor_trimestre),((Datos!L20/Datos!K20)*11)/factor_trimestre," - ")</f>
        <v>7.9831288343558278</v>
      </c>
      <c r="BI20" s="1362">
        <f>IF(ISNUMBER(Datos!J20/Datos!I20),Datos!J20/Datos!I20," - ")</f>
        <v>0.38878086719813337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-0.59869590989922938</v>
      </c>
      <c r="BM20" s="1387">
        <f>IF(ISNUMBER((Datos!P20-Datos!Q20+R20)/(Datos!R20-Datos!P20+Datos!Q20-R20)),(Datos!P20-Datos!Q20+R20)/(Datos!R20-Datos!P20+Datos!Q20-R20)," - ")</f>
        <v>3.8619774386197743E-2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1577.2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2.4404006956964168</v>
      </c>
      <c r="F22" s="1298">
        <f>IF(ISNUMBER(STDEV(F8:F19)),STDEV(F8:F19),"-")</f>
        <v>1848.6755619451817</v>
      </c>
      <c r="G22" s="1299">
        <f>IF(ISNUMBER(STDEV(G8:G19)),STDEV(G8:G19),"-")</f>
        <v>1874.7700392314787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1003.8720037933123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261.33421404127597</v>
      </c>
      <c r="BD22" s="1298"/>
      <c r="BE22" s="1298">
        <f>IF(ISNUMBER(STDEV(BE8:BE19)),STDEV(BE8:BE19),"-")</f>
        <v>0</v>
      </c>
      <c r="BF22" s="1303">
        <f>IF(ISNUMBER(STDEV(BF8:BF19)),STDEV(BF8:BF19),"-")</f>
        <v>0</v>
      </c>
      <c r="BG22" s="1360">
        <f>IF(ISNUMBER(STDEV(BG8:BG19)),STDEV(BG8:BG19),"-")</f>
        <v>4.8849546797611131E-2</v>
      </c>
      <c r="BH22" s="1361">
        <f>IF(ISNUMBER(STDEV(BH8:BH19)),STDEV(BH8:BH19),"-")</f>
        <v>5.5266938819287201</v>
      </c>
      <c r="BI22" s="1224">
        <f>IF(ISNUMBER(STDEV(BI8:BI19)),STDEV(BI8:BI19),"-")</f>
        <v>9.3650507191208987E-2</v>
      </c>
      <c r="BJ22" s="1219" t="str">
        <f>IF(ISNUMBER(BL22/BM22),BL22/BM22," - ")</f>
        <v xml:space="preserve"> - </v>
      </c>
      <c r="BK22" s="1320"/>
      <c r="BL22" s="1306">
        <f>IF(ISNUMBER(STDEV(BL8:BL19)),STDEV(BL8:BL19),"-")</f>
        <v>0.32473077714353354</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Z4Stp6i5xfcggWkAlCZd5wXo6zm17/w2Egh+D6Q0eWBLcRfxqadLIvNArCBZT80eTTmv2Z5nrYKbHaoWo0zROw==" saltValue="PJEvIGzXxPKIdantYPqxH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SANTIAGO DE COMPOSTELA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463</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167</v>
      </c>
      <c r="AA9" s="331" t="str">
        <f>IF(ISNUMBER(IF(J_V="SI",Datos!L9,Datos!L9+Datos!AB9)-IF(Monitorios="SI",Datos!CD9,0)),
                          IF(J_V="SI",Datos!L9,Datos!L9+Datos!AB9)-IF(Monitorios="SI",Datos!CD9,0),
                          " - ")</f>
        <v xml:space="preserve"> - </v>
      </c>
      <c r="AB9" s="333"/>
      <c r="AC9" s="333"/>
      <c r="AD9" s="483"/>
      <c r="AE9" s="483">
        <f>IF(ISNUMBER(Datos!R9),Datos!R9," - ")</f>
        <v>7109</v>
      </c>
      <c r="AF9" s="228" t="str">
        <f>IF(ISNUMBER(Datos!BV9),Datos!BV9," - ")</f>
        <v xml:space="preserve"> - </v>
      </c>
      <c r="AG9" s="224" t="str">
        <f>IF(ISNUMBER(Datos!DV9),Datos!DV9," - ")</f>
        <v xml:space="preserve"> - </v>
      </c>
      <c r="AH9" s="297"/>
      <c r="AI9" s="226"/>
      <c r="AJ9" s="224">
        <f>IF(ISNUMBER(Datos!M9),Datos!M9," - ")</f>
        <v>592</v>
      </c>
      <c r="AK9" s="228">
        <f>IF(ISNUMBER(Datos!N9),Datos!N9," - ")</f>
        <v>573</v>
      </c>
      <c r="AL9" s="228" t="str">
        <f>IF(ISNUMBER(Datos!BW9),Datos!BW9," - ")</f>
        <v xml:space="preserve"> - </v>
      </c>
      <c r="AM9" s="227" t="str">
        <f>IF(ISNUMBER(Datos!BX9),Datos!BX9," - ")</f>
        <v xml:space="preserve"> - </v>
      </c>
      <c r="AN9" s="242"/>
      <c r="AO9" s="259">
        <f>IF(ISNUMBER(((NºAsuntos!I9/NºAsuntos!G9)*11)/factor_trimestre),((NºAsuntos!I9/NºAsuntos!G9)*11)/factor_trimestre," - ")</f>
        <v>10.604332953249715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4.3446352561279905E-2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1</v>
      </c>
      <c r="F10" s="224">
        <f>IF(ISNUMBER(Datos!L10+Datos!K10-Datos!J10),Datos!L10+Datos!K10-Datos!J10," - ")</f>
        <v>86</v>
      </c>
      <c r="G10" s="224">
        <f>IF(ISNUMBER(Datos!I10),Datos!I10," - ")</f>
        <v>86</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9</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13</v>
      </c>
      <c r="Z10" s="617">
        <f>IF(ISNUMBER(Datos!Q10),Datos!Q10," - ")</f>
        <v>10</v>
      </c>
      <c r="AA10" s="331">
        <f>IF(ISNUMBER(Datos!L10),Datos!L10,"-")</f>
        <v>88</v>
      </c>
      <c r="AB10" s="333"/>
      <c r="AC10" s="333"/>
      <c r="AD10" s="483"/>
      <c r="AE10" s="483">
        <f>IF(ISNUMBER(Datos!R10),Datos!R10," - ")</f>
        <v>51</v>
      </c>
      <c r="AF10" s="228" t="str">
        <f>IF(ISNUMBER(Datos!BV10),Datos!BV10," - ")</f>
        <v xml:space="preserve"> - </v>
      </c>
      <c r="AG10" s="224" t="str">
        <f>IF(ISNUMBER(Datos!DV10),Datos!DV10," - ")</f>
        <v xml:space="preserve"> - </v>
      </c>
      <c r="AH10" s="297"/>
      <c r="AI10" s="226"/>
      <c r="AJ10" s="224">
        <f>IF(ISNUMBER(Datos!M10),Datos!M10," - ")</f>
        <v>6</v>
      </c>
      <c r="AK10" s="228">
        <f>IF(ISNUMBER(Datos!N10),Datos!N10," - ")</f>
        <v>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20.30769230769231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-1.9230769230769232E-2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2</v>
      </c>
      <c r="B11" s="506" t="s">
        <v>247</v>
      </c>
      <c r="C11" s="7" t="str">
        <f>Datos!A11</f>
        <v xml:space="preserve">Sección de Familia, infancia e incapacidad del TI                           </v>
      </c>
      <c r="D11" s="507"/>
      <c r="E11" s="1163">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17</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53</v>
      </c>
      <c r="AA11" s="331" t="str">
        <f>IF(ISNUMBER(IF(J_V="SI",Datos!L11,Datos!L11+Datos!AB11)-IF(Monitorios="SI",Datos!CD11,0)),
                          IF(J_V="SI",Datos!L11,Datos!L11+Datos!AB11)-IF(Monitorios="SI",Datos!CD11,0),
                          " - ")</f>
        <v xml:space="preserve"> - </v>
      </c>
      <c r="AB11" s="333"/>
      <c r="AC11" s="333"/>
      <c r="AD11" s="483"/>
      <c r="AE11" s="483">
        <f>IF(ISNUMBER(Datos!R11),Datos!R11," - ")</f>
        <v>330</v>
      </c>
      <c r="AF11" s="228" t="str">
        <f>IF(ISNUMBER(Datos!BV11),Datos!BV11," - ")</f>
        <v xml:space="preserve"> - </v>
      </c>
      <c r="AG11" s="224" t="str">
        <f>IF(ISNUMBER(Datos!DV11),Datos!DV11," - ")</f>
        <v xml:space="preserve"> - </v>
      </c>
      <c r="AH11" s="297"/>
      <c r="AI11" s="226"/>
      <c r="AJ11" s="224">
        <f>IF(ISNUMBER(Datos!M11),Datos!M11," - ")</f>
        <v>30</v>
      </c>
      <c r="AK11" s="228">
        <f>IF(ISNUMBER(Datos!N11),Datos!N11," - ")</f>
        <v>381</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4.0764331210191083</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-9.8360655737704916E-2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7</v>
      </c>
      <c r="F13" s="895">
        <f>SUBTOTAL(9,F8:F12)</f>
        <v>86</v>
      </c>
      <c r="G13" s="895">
        <f>SUBTOTAL(9,G8:G12)</f>
        <v>86</v>
      </c>
      <c r="H13" s="905"/>
      <c r="I13" s="895">
        <f t="shared" ref="I13:N13" si="0">SUBTOTAL(9,I8:I12)</f>
        <v>0</v>
      </c>
      <c r="J13" s="864">
        <f t="shared" si="0"/>
        <v>0</v>
      </c>
      <c r="K13" s="905">
        <f t="shared" si="0"/>
        <v>0</v>
      </c>
      <c r="L13" s="905">
        <f t="shared" si="0"/>
        <v>0</v>
      </c>
      <c r="M13" s="905">
        <f t="shared" si="0"/>
        <v>0</v>
      </c>
      <c r="N13" s="905">
        <f t="shared" si="0"/>
        <v>489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13</v>
      </c>
      <c r="Z13" s="904">
        <f t="shared" si="2"/>
        <v>230</v>
      </c>
      <c r="AA13" s="897">
        <f t="shared" si="2"/>
        <v>88</v>
      </c>
      <c r="AB13" s="897">
        <f t="shared" si="2"/>
        <v>0</v>
      </c>
      <c r="AC13" s="897">
        <f t="shared" si="2"/>
        <v>0</v>
      </c>
      <c r="AD13" s="897">
        <f t="shared" si="2"/>
        <v>0</v>
      </c>
      <c r="AE13" s="897">
        <f t="shared" si="2"/>
        <v>7490</v>
      </c>
      <c r="AF13" s="905">
        <f t="shared" si="2"/>
        <v>0</v>
      </c>
      <c r="AG13" s="905">
        <f t="shared" si="2"/>
        <v>0</v>
      </c>
      <c r="AH13" s="905">
        <f t="shared" si="2"/>
        <v>0</v>
      </c>
      <c r="AI13" s="905">
        <f t="shared" si="2"/>
        <v>0</v>
      </c>
      <c r="AJ13" s="905">
        <f t="shared" si="2"/>
        <v>628</v>
      </c>
      <c r="AK13" s="905">
        <f t="shared" si="2"/>
        <v>960</v>
      </c>
      <c r="AL13" s="905">
        <f t="shared" si="2"/>
        <v>0</v>
      </c>
      <c r="AM13" s="905">
        <f t="shared" si="2"/>
        <v>0</v>
      </c>
      <c r="AN13" s="905">
        <f t="shared" si="2"/>
        <v>0</v>
      </c>
      <c r="AO13" s="901">
        <f>IF(ISNUMBER(((NºAsuntos!I13/NºAsuntos!G13)*11)/factor_trimestre),((NºAsuntos!I13/NºAsuntos!G13)*11)/factor_trimestre," - ")</f>
        <v>9.286863270777479</v>
      </c>
      <c r="AP13" s="907" t="str">
        <f>IF(ISNUMBER(Datos!CI13/Datos!CJ13),Datos!CI13/Datos!CJ13," - ")</f>
        <v xml:space="preserve"> - </v>
      </c>
      <c r="AQ13" s="923">
        <f t="shared" ref="AQ13:AV13" si="3">SUBTOTAL(9,AQ9:AQ12)</f>
        <v>0</v>
      </c>
      <c r="AR13" s="923">
        <f t="shared" si="3"/>
        <v>-7.4145072407194243E-2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3</v>
      </c>
      <c r="B15" s="506" t="s">
        <v>397</v>
      </c>
      <c r="C15" s="159" t="str">
        <f>Datos!A15</f>
        <v xml:space="preserve">Seccion Instruccion Del T.I.                   </v>
      </c>
      <c r="D15" s="501"/>
      <c r="E15" s="1163">
        <f>IF(ISNUMBER(Datos!AQ15),Datos!AQ15," - ")</f>
        <v>3</v>
      </c>
      <c r="F15" s="332">
        <f>IF(ISNUMBER(AA15+Y15-Datos!J15-K15),AA15+Y15-Datos!J15-K15," - ")</f>
        <v>3288</v>
      </c>
      <c r="G15" s="224">
        <f>IF(ISNUMBER(IF(D_I="SI",Datos!I15,Datos!I15+Datos!AC15)),IF(D_I="SI",Datos!I15,Datos!I15+Datos!AC15)," - ")</f>
        <v>3372</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66</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1795</v>
      </c>
      <c r="Z15" s="617">
        <f>IF(ISNUMBER(Datos!Q15),Datos!Q15," - ")</f>
        <v>32</v>
      </c>
      <c r="AA15" s="331">
        <f>IF(ISNUMBER(IF(D_I="SI",Datos!L15,Datos!L15+Datos!AF15)),IF(D_I="SI",Datos!L15,Datos!L15+Datos!AF15)," - ")</f>
        <v>3297</v>
      </c>
      <c r="AB15" s="333"/>
      <c r="AC15" s="333"/>
      <c r="AD15" s="483"/>
      <c r="AE15" s="483">
        <f>IF(ISNUMBER(Datos!R15),Datos!R15," - ")</f>
        <v>336</v>
      </c>
      <c r="AF15" s="228" t="str">
        <f>IF(ISNUMBER(Datos!BV15),Datos!BV15," - ")</f>
        <v xml:space="preserve"> - </v>
      </c>
      <c r="AG15" s="224"/>
      <c r="AH15" s="297"/>
      <c r="AI15" s="226"/>
      <c r="AJ15" s="224">
        <f>IF(ISNUMBER(Datos!M15),Datos!M15," - ")</f>
        <v>250</v>
      </c>
      <c r="AK15" s="228">
        <f>IF(ISNUMBER(Datos!N15),Datos!N15," - ")</f>
        <v>999</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5.5103064066852374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485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212</v>
      </c>
      <c r="Z18" s="617">
        <f>IF(ISNUMBER(Datos!Q18),Datos!Q18," - ")</f>
        <v>3</v>
      </c>
      <c r="AA18" s="331">
        <f>IF(ISNUMBER(Datos!L18),Datos!L18,"-")</f>
        <v>504</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47</v>
      </c>
      <c r="AK18" s="228">
        <f>IF(ISNUMBER(Datos!N18),Datos!N18," - ")</f>
        <v>103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7.132075471698113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3288</v>
      </c>
      <c r="G19" s="895">
        <f>SUBTOTAL(9,G15:G18)</f>
        <v>3857</v>
      </c>
      <c r="H19" s="927">
        <f>SUBTOTAL(9,H15:H18)</f>
        <v>0</v>
      </c>
      <c r="I19" s="908">
        <f>SUBTOTAL(9,I15:I18)</f>
        <v>0</v>
      </c>
      <c r="J19" s="864">
        <f>SUBTOTAL(9,J14:J18)</f>
        <v>0</v>
      </c>
      <c r="K19" s="927">
        <f t="shared" ref="K19:S19" si="4">SUBTOTAL(9,K15:K18)</f>
        <v>0</v>
      </c>
      <c r="L19" s="927">
        <f t="shared" si="4"/>
        <v>0</v>
      </c>
      <c r="M19" s="927">
        <f t="shared" si="4"/>
        <v>0</v>
      </c>
      <c r="N19" s="927">
        <f t="shared" si="4"/>
        <v>67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2007</v>
      </c>
      <c r="Z19" s="927">
        <f t="shared" si="5"/>
        <v>35</v>
      </c>
      <c r="AA19" s="927">
        <f t="shared" si="5"/>
        <v>3801</v>
      </c>
      <c r="AB19" s="927">
        <f t="shared" si="5"/>
        <v>0</v>
      </c>
      <c r="AC19" s="927">
        <f t="shared" si="5"/>
        <v>0</v>
      </c>
      <c r="AD19" s="927">
        <f t="shared" si="5"/>
        <v>0</v>
      </c>
      <c r="AE19" s="927">
        <f t="shared" si="5"/>
        <v>336</v>
      </c>
      <c r="AF19" s="927">
        <f t="shared" si="5"/>
        <v>0</v>
      </c>
      <c r="AG19" s="927">
        <f t="shared" si="5"/>
        <v>0</v>
      </c>
      <c r="AH19" s="927">
        <f t="shared" si="5"/>
        <v>0</v>
      </c>
      <c r="AI19" s="927">
        <f t="shared" si="5"/>
        <v>0</v>
      </c>
      <c r="AJ19" s="927">
        <f t="shared" si="5"/>
        <v>297</v>
      </c>
      <c r="AK19" s="927">
        <f t="shared" si="5"/>
        <v>1102</v>
      </c>
      <c r="AL19" s="927">
        <f t="shared" si="5"/>
        <v>0</v>
      </c>
      <c r="AM19" s="927">
        <f t="shared" si="5"/>
        <v>0</v>
      </c>
      <c r="AN19" s="927">
        <f t="shared" si="5"/>
        <v>0</v>
      </c>
      <c r="AO19" s="929">
        <f>IF(ISNUMBER(((NºAsuntos!I19/NºAsuntos!G19)*11)/factor_trimestre),((NºAsuntos!I19/NºAsuntos!G19)*11)/factor_trimestre," - ")</f>
        <v>5.6816143497757849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11</v>
      </c>
      <c r="F20" s="817">
        <f t="shared" si="7"/>
        <v>3374</v>
      </c>
      <c r="G20" s="817">
        <f t="shared" si="7"/>
        <v>3943</v>
      </c>
      <c r="H20" s="818">
        <f t="shared" si="7"/>
        <v>0</v>
      </c>
      <c r="I20" s="817">
        <f t="shared" si="7"/>
        <v>0</v>
      </c>
      <c r="J20" s="819">
        <f t="shared" si="7"/>
        <v>0</v>
      </c>
      <c r="K20" s="817">
        <f t="shared" si="7"/>
        <v>0</v>
      </c>
      <c r="L20" s="820">
        <f t="shared" si="7"/>
        <v>0</v>
      </c>
      <c r="M20" s="817">
        <f t="shared" si="7"/>
        <v>0</v>
      </c>
      <c r="N20" s="818">
        <f t="shared" si="7"/>
        <v>556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2020</v>
      </c>
      <c r="Z20" s="824">
        <f t="shared" si="8"/>
        <v>265</v>
      </c>
      <c r="AA20" s="825">
        <f t="shared" si="8"/>
        <v>3889</v>
      </c>
      <c r="AB20" s="825">
        <f t="shared" si="8"/>
        <v>0</v>
      </c>
      <c r="AC20" s="825">
        <f t="shared" si="8"/>
        <v>0</v>
      </c>
      <c r="AD20" s="826">
        <f t="shared" si="8"/>
        <v>0</v>
      </c>
      <c r="AE20" s="826">
        <f t="shared" si="8"/>
        <v>7826</v>
      </c>
      <c r="AF20" s="827">
        <f t="shared" si="8"/>
        <v>0</v>
      </c>
      <c r="AG20" s="828">
        <f t="shared" si="8"/>
        <v>0</v>
      </c>
      <c r="AH20" s="829">
        <f t="shared" si="8"/>
        <v>0</v>
      </c>
      <c r="AI20" s="827">
        <f t="shared" si="8"/>
        <v>0</v>
      </c>
      <c r="AJ20" s="817">
        <f t="shared" si="8"/>
        <v>925</v>
      </c>
      <c r="AK20" s="817">
        <f t="shared" si="8"/>
        <v>2062</v>
      </c>
      <c r="AL20" s="817">
        <f t="shared" si="8"/>
        <v>0</v>
      </c>
      <c r="AM20" s="830">
        <f t="shared" si="8"/>
        <v>0</v>
      </c>
      <c r="AN20" s="820">
        <f>IF(ISNUMBER(Datos!K20/Datos!J20),Datos!K20/Datos!J20," - ")</f>
        <v>0.97824456114028502</v>
      </c>
      <c r="AO20" s="820">
        <f>IF(ISNUMBER(FIND("06",Criterios!A8,1)),(IF(ISNUMBER(((Datos!R20/Datos!Q20)*11)/factor_trimestre),((Datos!R20/Datos!Q20)*11)/factor_trimestre," - ")),(IF(ISNUMBER(((Datos!L20/Datos!K20)*11)/factor_trimestre),((Datos!L20/Datos!K20)*11)/factor_trimestre," - ")))</f>
        <v>7.9831288343558278</v>
      </c>
      <c r="AP20" s="831" t="str">
        <f>IF(ISNUMBER(Datos!CI20/Datos!CJ20),Datos!CI20/Datos!CJ20," - ")</f>
        <v xml:space="preserve"> - </v>
      </c>
      <c r="AQ20" s="831">
        <f>IF(OR(ISNUMBER(FIND("01",Criterios!A8,1)),ISNUMBER(FIND("02",Criterios!A8,1)),ISNUMBER(FIND("03",Criterios!A8,1)),ISNUMBER(FIND("04",Criterios!A8,1))),(J20-Y20+K20)/(F20-K20),(I20-Y20+K20)/(F20-K20))</f>
        <v>-0.59869590989922938</v>
      </c>
      <c r="AR20" s="831">
        <f>IF(ISNUMBER((Datos!P20-Datos!Q20+O20)/(Datos!R20-Datos!P20+Datos!Q20-O20)),(Datos!P20-Datos!Q20+O20)/(Datos!R20-Datos!P20+Datos!Q20-O20)," - ")</f>
        <v>3.8619774386197743E-2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1577.2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1848.6755619451817</v>
      </c>
      <c r="G22" s="551">
        <f>IF(ISNUMBER(STDEV(G8:G19)),STDEV(G8:G19),"-")</f>
        <v>1874.7700392314787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261.33421404127597</v>
      </c>
      <c r="AK22" s="251"/>
      <c r="AL22" s="251">
        <f>IF(ISNUMBER(STDEV(AL8:AL19)),STDEV(AL8:AL19),"-")</f>
        <v>0</v>
      </c>
      <c r="AM22" s="253">
        <f>IF(ISNUMBER(STDEV(AM8:AM19)),STDEV(AM8:AM19),"-")</f>
        <v>0</v>
      </c>
      <c r="AN22" s="538">
        <f>IF(ISNUMBER(STDEV(AN8:AN19)),STDEV(AN8:AN19),"-")</f>
        <v>0</v>
      </c>
      <c r="AO22" s="539">
        <f>IF(ISNUMBER(STDEV(AO8:AO19)),STDEV(AO8:AO19),"-")</f>
        <v>5.4987489861288443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sPTjles8BB9D2jBeV2FzvU/y3CyeJMxIp0DJQH1x/vOwwyPBWqGPetvgE5F2qtsA6LF5/DDXlJt2IbYuZp6bjw==" saltValue="f0Sytlk/0nzLvxXQwEdmQ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XdMKOqeC0nBKsxvvopBUfhEcXuSehum1ZXnENrEMcVgwARx4O1Q6r3Mkj5lmTBl9/VJK2NBXZ/+Sa3bR4YwHtQ==" saltValue="L7K0kaWzRiw1fES8oFHI1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n989rjAdvoel6aGrfkzkhWVVsLrxrby+wRCFiq/JMpE+UIE7K6ziPACwt1+luDupqzt4aWl+P3hVQVEPMCZkQ==" saltValue="Kc/GO2AwoSO4q7osO2Wfj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A CORUÑA  Resumenes por Partidos Judiciales  SANTIAGO DE COMPOSTELA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0.28060768543342268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0.19841959722303476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FrP1ZWAi1APHY2zkrewKK/bOOeOnTzT+pNnZNQkv8ApyM1Mu0lDFFGnjvBeummNRqRQd6e4vGmHM+1Zw6NIx9w==" saltValue="yp6+x0BXPWQ0IbVsNL+QH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wHgBtetcEvE00WiZDkE98xB0lHShqD8IFvRBo5rKQqMVDJr5UQO0KzWM8uDBeQvYGOdWHXU7zhBXor/Er8Bi7g==" saltValue="UipKVL8VW2civMojfPlp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SANTIAGO DE COMPOSTELA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5</v>
      </c>
      <c r="C9" s="402">
        <f>IF(ISNUMBER(IF(J_V="SI",Datos!I9,Datos!I9+Datos!Y9)),IF(J_V="SI",Datos!I9,Datos!I9+Datos!Y9)," - ")</f>
        <v>6058</v>
      </c>
      <c r="D9" s="403">
        <f>IF(ISNUMBER(C9/Datos!BH9),C9/Datos!BH9," - ")</f>
        <v>1211.5999999999999</v>
      </c>
      <c r="E9" s="402">
        <f>IF(ISNUMBER(IF(J_V="SI",Datos!J9,Datos!J9+Datos!Z9)),IF(J_V="SI",Datos!J9,Datos!J9+Datos!Z9)," - ")</f>
        <v>1775</v>
      </c>
      <c r="F9" s="403">
        <f>IF(ISNUMBER(E9/B9),E9/B9," - ")</f>
        <v>355</v>
      </c>
      <c r="G9" s="402">
        <f>IF(ISNUMBER(IF(J_V="SI",Datos!K9,Datos!K9+Datos!AA9)),IF(J_V="SI",Datos!K9,Datos!K9+Datos!AA9)," - ")</f>
        <v>1754</v>
      </c>
      <c r="H9" s="403">
        <f>IF(ISNUMBER(G9/B9),G9/B9," - ")</f>
        <v>350.8</v>
      </c>
      <c r="I9" s="402">
        <f>IF(ISNUMBER(IF(J_V="SI",Datos!L9,Datos!L9+Datos!AB9)),IF(J_V="SI",Datos!L9,Datos!L9+Datos!AB9)," - ")</f>
        <v>6200</v>
      </c>
      <c r="J9" s="403">
        <f>IF(ISNUMBER(I9/B9),I9/B9," - ")</f>
        <v>1240</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86</v>
      </c>
      <c r="D10" s="403">
        <f>IF(ISNUMBER(C10/Datos!BH10),C10/Datos!BH10," - ")</f>
        <v>86</v>
      </c>
      <c r="E10" s="402">
        <f>IF(ISNUMBER(Datos!J10),Datos!J10," - ")</f>
        <v>15</v>
      </c>
      <c r="F10" s="403">
        <f>IF(ISNUMBER(E10/B10),E10/B10," - ")</f>
        <v>7.5</v>
      </c>
      <c r="G10" s="402">
        <f>IF(ISNUMBER(Datos!K10),Datos!K10," - ")</f>
        <v>13</v>
      </c>
      <c r="H10" s="403">
        <f>IF(ISNUMBER(G10/B10),G10/B10," - ")</f>
        <v>6.5</v>
      </c>
      <c r="I10" s="402">
        <f>IF(ISNUMBER(Datos!L10),Datos!L10," - ")</f>
        <v>88</v>
      </c>
      <c r="J10" s="403">
        <f>IF(ISNUMBER(I10/B10),I10/B10," - ")</f>
        <v>44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2</v>
      </c>
      <c r="C11" s="402">
        <f>IF(ISNUMBER(IF(J_V="SI",Datos!I11,Datos!I11+Datos!Y11)),IF(J_V="SI",Datos!I11,Datos!I11+Datos!Y11)," - ")</f>
        <v>600</v>
      </c>
      <c r="D11" s="403">
        <f>IF(ISNUMBER(C11/Datos!BH11),C11/Datos!BH11," - ")</f>
        <v>200</v>
      </c>
      <c r="E11" s="402">
        <f>IF(ISNUMBER(IF(J_V="SI",Datos!J11,Datos!J11+Datos!Z11)),IF(J_V="SI",Datos!J11,Datos!J11+Datos!Z11)," - ")</f>
        <v>509</v>
      </c>
      <c r="F11" s="403">
        <f>IF(ISNUMBER(E11/B11),E11/B11," - ")</f>
        <v>254.5</v>
      </c>
      <c r="G11" s="402">
        <f>IF(ISNUMBER(IF(J_V="SI",Datos!K11,Datos!K11+Datos!AA11)),IF(J_V="SI",Datos!K11,Datos!K11+Datos!AA11)," - ")</f>
        <v>471</v>
      </c>
      <c r="H11" s="403">
        <f>IF(ISNUMBER(G11/B11),G11/B11," - ")</f>
        <v>235.5</v>
      </c>
      <c r="I11" s="402">
        <f>IF(ISNUMBER(IF(J_V="SI",Datos!L11,Datos!L11+Datos!AB11)),IF(J_V="SI",Datos!L11,Datos!L11+Datos!AB11)," - ")</f>
        <v>640</v>
      </c>
      <c r="J11" s="403">
        <f>IF(ISNUMBER(I11/B11),I11/B11," - ")</f>
        <v>320</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8</v>
      </c>
      <c r="C13" s="846">
        <f>SUBTOTAL(9,C8:C12)</f>
        <v>6744</v>
      </c>
      <c r="D13" s="847" t="str">
        <f>IF(ISNUMBER(C13/Datos!BI13),C13/Datos!BI13," - ")</f>
        <v xml:space="preserve"> - </v>
      </c>
      <c r="E13" s="846">
        <f>SUBTOTAL(9,E8:E12)</f>
        <v>2299</v>
      </c>
      <c r="F13" s="847">
        <f>IF(ISNUMBER(E13/B13),E13/B13," - ")</f>
        <v>287.375</v>
      </c>
      <c r="G13" s="846">
        <f>SUBTOTAL(9,G8:G12)</f>
        <v>2238</v>
      </c>
      <c r="H13" s="847">
        <f>IF(ISNUMBER(G13/B13),G13/B13," - ")</f>
        <v>279.75</v>
      </c>
      <c r="I13" s="846">
        <f>SUBTOTAL(9,I8:I12)</f>
        <v>6928</v>
      </c>
      <c r="J13" s="847">
        <f>IF(ISNUMBER(I13/B13),I13/B13," - ")</f>
        <v>866</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3</v>
      </c>
      <c r="C15" s="402">
        <f>IF(ISNUMBER(IF(D_I="SI",Datos!I15,Datos!I15+Datos!AC15)),IF(D_I="SI",Datos!I15,Datos!I15+Datos!AC15)," - ")</f>
        <v>3372</v>
      </c>
      <c r="D15" s="403">
        <f>IF(ISNUMBER(C15/Datos!BH15),C15/Datos!BH15," - ")</f>
        <v>1124</v>
      </c>
      <c r="E15" s="402">
        <f>IF(ISNUMBER(IF(D_I="SI",Datos!J15,Datos!J15+Datos!AD15)),IF(D_I="SI",Datos!J15,Datos!J15+Datos!AD15)," - ")</f>
        <v>1804</v>
      </c>
      <c r="F15" s="403">
        <f>IF(ISNUMBER(E15/B15),E15/B15," - ")</f>
        <v>601.33333333333337</v>
      </c>
      <c r="G15" s="402">
        <f>IF(ISNUMBER(IF(D_I="SI",Datos!K15,Datos!K15+Datos!AE15)),IF(D_I="SI",Datos!K15,Datos!K15+Datos!AE15)," - ")</f>
        <v>1795</v>
      </c>
      <c r="H15" s="403">
        <f>IF(ISNUMBER(G15/B15),G15/B15," - ")</f>
        <v>598.33333333333337</v>
      </c>
      <c r="I15" s="402">
        <f>IF(ISNUMBER(IF(D_I="SI",Datos!L15,Datos!L15+Datos!AF15)),IF(D_I="SI",Datos!L15,Datos!L15+Datos!AF15)," - ")</f>
        <v>3297</v>
      </c>
      <c r="J15" s="403">
        <f>IF(ISNUMBER(I15/B15),I15/B15," - ")</f>
        <v>1099</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485</v>
      </c>
      <c r="D18" s="403">
        <f>IF(ISNUMBER(C18/Datos!BH18),C18/Datos!BH18," - ")</f>
        <v>485</v>
      </c>
      <c r="E18" s="402">
        <f>IF(ISNUMBER(IF(D_I="SI",Datos!J18,Datos!J18+Datos!AD18)),IF(D_I="SI",Datos!J18,Datos!J18+Datos!AD18)," - ")</f>
        <v>233</v>
      </c>
      <c r="F18" s="403">
        <f>IF(ISNUMBER(E18/B18),E18/B18," - ")</f>
        <v>116.5</v>
      </c>
      <c r="G18" s="402">
        <f>IF(ISNUMBER(IF(D_I="SI",Datos!K18,Datos!K18+Datos!AE18)),IF(D_I="SI",Datos!K18,Datos!K18+Datos!AE18)," - ")</f>
        <v>212</v>
      </c>
      <c r="H18" s="403">
        <f>IF(ISNUMBER(G18/B18),G18/B18," - ")</f>
        <v>106</v>
      </c>
      <c r="I18" s="402">
        <f>IF(ISNUMBER(IF(D_I="SI",Datos!L18,Datos!L18+Datos!AF18)),IF(D_I="SI",Datos!L18,Datos!L18+Datos!AF18)," - ")</f>
        <v>504</v>
      </c>
      <c r="J18" s="403">
        <f>IF(ISNUMBER(I18/B18),I18/B18," - ")</f>
        <v>252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3857</v>
      </c>
      <c r="D19" s="847" t="str">
        <f>IF(ISNUMBER(C19/Datos!BI19),C19/Datos!BI19," - ")</f>
        <v xml:space="preserve"> - </v>
      </c>
      <c r="E19" s="846">
        <f>SUBTOTAL(9,E14:E18)</f>
        <v>2037</v>
      </c>
      <c r="F19" s="847">
        <f>IF(ISNUMBER(E19/B19),E19/B19," - ")</f>
        <v>509.25</v>
      </c>
      <c r="G19" s="846">
        <f>SUBTOTAL(9,G14:G18)</f>
        <v>2007</v>
      </c>
      <c r="H19" s="847">
        <f>IF(ISNUMBER(G19/B19),G19/B19," - ")</f>
        <v>501.75</v>
      </c>
      <c r="I19" s="846">
        <f>SUBTOTAL(9,I14:I18)</f>
        <v>3801</v>
      </c>
      <c r="J19" s="847">
        <f>IF(ISNUMBER(I19/B19),I19/B19," - ")</f>
        <v>950.25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11</v>
      </c>
      <c r="C20" s="791">
        <f>SUBTOTAL(9,C9:C19)</f>
        <v>10601</v>
      </c>
      <c r="D20" s="792" t="str">
        <f>IF(ISNUMBER(C20/Datos!BI20),C20/Datos!BI20," - ")</f>
        <v xml:space="preserve"> - </v>
      </c>
      <c r="E20" s="791">
        <f>SUBTOTAL(9,E9:E19)</f>
        <v>4336</v>
      </c>
      <c r="F20" s="792">
        <f>IF(ISNUMBER(E20/B20),E20/B20," - ")</f>
        <v>394.18181818181819</v>
      </c>
      <c r="G20" s="791">
        <f>SUBTOTAL(9,G9:G19)</f>
        <v>4245</v>
      </c>
      <c r="H20" s="792">
        <f>IF(ISNUMBER(G20/B20),G20/B20," - ")</f>
        <v>385.90909090909093</v>
      </c>
      <c r="I20" s="791">
        <f>SUBTOTAL(9,I9:I19)</f>
        <v>10729</v>
      </c>
      <c r="J20" s="792">
        <f>IF(ISNUMBER(I20/B20),I20/B20," - ")</f>
        <v>975.36363636363637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50Ho3LEzZBpq7NmBMdv/Mrj0u9k9y4nYyn7xdzMjRFXyHCOMIwqz1XMO36c/uZdVH436HpkET7WeH3hMupL25Q==" saltValue="jz2G3vWdLX2LgREb+0XOV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SANTIAGO DE COMPOSTELA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5</v>
      </c>
      <c r="B9" s="500" t="s">
        <v>247</v>
      </c>
      <c r="C9" s="159" t="str">
        <f>Datos!A9</f>
        <v>Sección Civil del T.I</v>
      </c>
      <c r="D9" s="501"/>
      <c r="E9" s="679">
        <f>IF(ISNUMBER(Datos!AQ9),Datos!AQ9," - ")</f>
        <v>5</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1</v>
      </c>
      <c r="F10" s="680">
        <f>IF(ISNUMBER(Datos!L10+Datos!K10-Datos!J10),Datos!L10+Datos!K10-Datos!J10," - ")</f>
        <v>86</v>
      </c>
      <c r="G10" s="681">
        <f>IF(ISNUMBER(Datos!I10),Datos!I10," - ")</f>
        <v>86</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9</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13</v>
      </c>
      <c r="AC10" s="680" t="str">
        <f>IF(ISNUMBER(IF(D_I="SI",DatosP!K18,DatosP!K18+DatosP!AE18)),IF(D_I="SI",DatosP!K18,DatosP!K18+DatosP!AE18)," - ")</f>
        <v xml:space="preserve"> - </v>
      </c>
      <c r="AD10" s="682"/>
      <c r="AE10" s="682"/>
      <c r="AF10" s="685">
        <f>IF(ISNUMBER(Datos!L10),Datos!L10,"-")</f>
        <v>88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6</v>
      </c>
      <c r="AM10" s="687">
        <f>IF(ISNUMBER(Datos!N10+DatosP!N18),Datos!N10+DatosP!N18," - ")</f>
        <v>6</v>
      </c>
      <c r="AN10" s="687">
        <f>IF(ISNUMBER(Datos!BW10+DatosP!BW18),Datos!BW10+DatosP!BW18," - ")</f>
        <v>0</v>
      </c>
      <c r="AO10" s="688">
        <f>IF(ISNUMBER(Datos!BX10+DatosP!BX18),Datos!BX10+DatosP!BX18," - ")</f>
        <v>0</v>
      </c>
      <c r="AP10" s="690">
        <f>IF(ISNUMBER(((Datos!L10/Datos!K10)*11)/factor_trimestre),((Datos!L10/Datos!K10)*11)/factor_trimestre," - ")</f>
        <v>20.30769230769231</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2</v>
      </c>
      <c r="B11" s="506" t="s">
        <v>247</v>
      </c>
      <c r="C11" s="7" t="str">
        <f>Datos!A11</f>
        <v xml:space="preserve">Sección de Familia, infancia e incapacidad del TI                           </v>
      </c>
      <c r="D11" s="507"/>
      <c r="E11" s="679">
        <f>IF(ISNUMBER(Datos!AQ11),Datos!AQ11," - ")</f>
        <v>1</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7</v>
      </c>
      <c r="F13" s="933">
        <f t="shared" si="0"/>
        <v>86</v>
      </c>
      <c r="G13" s="933">
        <f t="shared" si="0"/>
        <v>86</v>
      </c>
      <c r="H13" s="933">
        <f t="shared" si="0"/>
        <v>0</v>
      </c>
      <c r="I13" s="935">
        <f t="shared" si="0"/>
        <v>0</v>
      </c>
      <c r="J13" s="934">
        <f t="shared" si="0"/>
        <v>0</v>
      </c>
      <c r="K13" s="934">
        <f t="shared" si="0"/>
        <v>0</v>
      </c>
      <c r="L13" s="936">
        <f t="shared" si="0"/>
        <v>0</v>
      </c>
      <c r="M13" s="936">
        <f t="shared" si="0"/>
        <v>0</v>
      </c>
      <c r="N13" s="934">
        <f t="shared" si="0"/>
        <v>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13</v>
      </c>
      <c r="AC13" s="934">
        <f t="shared" si="1"/>
        <v>0</v>
      </c>
      <c r="AD13" s="934">
        <f t="shared" si="1"/>
        <v>0</v>
      </c>
      <c r="AE13" s="934">
        <f t="shared" si="1"/>
        <v>0</v>
      </c>
      <c r="AF13" s="934">
        <f t="shared" si="1"/>
        <v>88</v>
      </c>
      <c r="AG13" s="934">
        <f t="shared" si="1"/>
        <v>0</v>
      </c>
      <c r="AH13" s="934">
        <f t="shared" si="1"/>
        <v>0</v>
      </c>
      <c r="AI13" s="934">
        <f t="shared" si="1"/>
        <v>0</v>
      </c>
      <c r="AJ13" s="934">
        <f t="shared" si="1"/>
        <v>0</v>
      </c>
      <c r="AK13" s="934">
        <f t="shared" si="1"/>
        <v>0</v>
      </c>
      <c r="AL13" s="934">
        <f t="shared" si="1"/>
        <v>6</v>
      </c>
      <c r="AM13" s="934">
        <f t="shared" si="1"/>
        <v>6</v>
      </c>
      <c r="AN13" s="934">
        <f t="shared" si="1"/>
        <v>0</v>
      </c>
      <c r="AO13" s="934">
        <f t="shared" si="1"/>
        <v>0</v>
      </c>
      <c r="AP13" s="939">
        <f>IF(ISNUMBER(((Datos!L13/Datos!K13)*11)/factor_trimestre),((Datos!L13/Datos!K13)*11)/factor_trimestre," - ")</f>
        <v>10.407874015748032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-0.15116279069767441</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3</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5.6816143497757849</v>
      </c>
      <c r="AQ19" s="939">
        <f>IF(ISNUMBER(((Datos!M19/Datos!L19)*11)/factor_trimestre),((Datos!M19/Datos!L19)*11)/factor_trimestre," - ")</f>
        <v>0.23441199684293609</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0.10526315789473684</v>
      </c>
      <c r="AW19" s="941">
        <f>IF(ISNUMBER((Datos!Q19-Datos!R19)/(Datos!S19-Datos!Q19+Datos!R19)),(Datos!Q19-Datos!R19)/(Datos!S19-Datos!Q19+Datos!R19)," - ")</f>
        <v>-7.9671784012705138E-2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7</v>
      </c>
      <c r="F20" s="946">
        <f t="shared" si="4"/>
        <v>86</v>
      </c>
      <c r="G20" s="946">
        <f t="shared" si="4"/>
        <v>86</v>
      </c>
      <c r="H20" s="946">
        <f t="shared" si="4"/>
        <v>0</v>
      </c>
      <c r="I20" s="947">
        <f t="shared" si="4"/>
        <v>0</v>
      </c>
      <c r="J20" s="948">
        <f t="shared" si="4"/>
        <v>0</v>
      </c>
      <c r="K20" s="948">
        <f t="shared" si="4"/>
        <v>0</v>
      </c>
      <c r="L20" s="948">
        <f t="shared" si="4"/>
        <v>0</v>
      </c>
      <c r="M20" s="948">
        <f t="shared" si="4"/>
        <v>0</v>
      </c>
      <c r="N20" s="947">
        <f t="shared" si="4"/>
        <v>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13</v>
      </c>
      <c r="AC20" s="952">
        <f t="shared" si="5"/>
        <v>0</v>
      </c>
      <c r="AD20" s="952">
        <f t="shared" si="5"/>
        <v>0</v>
      </c>
      <c r="AE20" s="952">
        <f t="shared" si="5"/>
        <v>0</v>
      </c>
      <c r="AF20" s="953">
        <f t="shared" si="5"/>
        <v>88</v>
      </c>
      <c r="AG20" s="953">
        <f t="shared" si="5"/>
        <v>0</v>
      </c>
      <c r="AH20" s="953">
        <f t="shared" si="5"/>
        <v>0</v>
      </c>
      <c r="AI20" s="953">
        <f t="shared" si="5"/>
        <v>0</v>
      </c>
      <c r="AJ20" s="954">
        <f t="shared" si="5"/>
        <v>0</v>
      </c>
      <c r="AK20" s="954">
        <f t="shared" si="5"/>
        <v>0</v>
      </c>
      <c r="AL20" s="946">
        <f t="shared" si="5"/>
        <v>6</v>
      </c>
      <c r="AM20" s="946">
        <f t="shared" si="5"/>
        <v>6</v>
      </c>
      <c r="AN20" s="946">
        <f t="shared" si="5"/>
        <v>0</v>
      </c>
      <c r="AO20" s="946">
        <f t="shared" si="5"/>
        <v>0</v>
      </c>
      <c r="AP20" s="946">
        <f>IF(ISNUMBER(((Datos!L20/Datos!K20)*11)/factor_trimestre),((Datos!L20/Datos!K20)*11)/factor_trimestre," - ")</f>
        <v>7.9831288343558278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-0.15116279069767441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3.8619774386197743E-2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57.333333333333336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2.9439202887759492</v>
      </c>
      <c r="F22" s="733">
        <f>IF(ISNUMBER(STDEV(F8:F19)),STDEV(F8:F19),"-")</f>
        <v>49.652123150307816</v>
      </c>
      <c r="G22" s="734">
        <f>IF(ISNUMBER(STDEV(G8:G19)),STDEV(G8:G19),"-")</f>
        <v>49.652123150307816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7.5055534994651349</v>
      </c>
      <c r="AC22" s="735">
        <f>IF(ISNUMBER(STDEV(AC8:AC19)),STDEV(AC8:AC19),"-")</f>
        <v>0</v>
      </c>
      <c r="AD22" s="738"/>
      <c r="AE22" s="738"/>
      <c r="AF22" s="738"/>
      <c r="AG22" s="738"/>
      <c r="AH22" s="738"/>
      <c r="AI22" s="738"/>
      <c r="AJ22" s="739">
        <f>IF(ISNUMBER(STDEV(AJ8:AJ19)),STDEV(AJ8:AJ19),"-")</f>
        <v>0</v>
      </c>
      <c r="AK22" s="741"/>
      <c r="AL22" s="733">
        <f>IF(ISNUMBER(STDEV(AL8:AL19)),STDEV(AL8:AL19),"-")</f>
        <v>3.4641016151377544</v>
      </c>
      <c r="AM22" s="733"/>
      <c r="AN22" s="733">
        <f>IF(ISNUMBER(STDEV(AN8:AN19)),STDEV(AN8:AN19),"-")</f>
        <v>0</v>
      </c>
      <c r="AO22" s="739">
        <f>IF(ISNUMBER(STDEV(AO8:AO19)),STDEV(AO8:AO19),"-")</f>
        <v>0</v>
      </c>
      <c r="AP22" s="776">
        <f>IF(ISNUMBER(STDEV(AP8:AP19)),STDEV(AP8:AP19),"-")</f>
        <v>7.4639811659592006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Mm0yHPUQv7TjH7HbsIKGx1gjur2HqrQvEojJ/h5xvyHvzt1FgtMWH87rp/IiSeTgO02dgAbsNmIPIwzLZ7IkNg==" saltValue="vCOhpGqL4d9xGb0fhvYEz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A CORUÑA  Resumenes por Partidos Judiciales  SANTIAGO DE COMPOSTELA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5</v>
      </c>
      <c r="B9" s="500" t="s">
        <v>247</v>
      </c>
      <c r="C9" s="159" t="str">
        <f>Datos!A9</f>
        <v>Sección Civil del T.I</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143</v>
      </c>
      <c r="O9" s="333"/>
      <c r="P9" s="333"/>
      <c r="Q9" s="225">
        <f>IF(ISNUMBER(Datos!P9),Datos!P9,0)</f>
        <v>463</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167</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239</v>
      </c>
      <c r="AI9" s="224" t="str">
        <f>IF(ISNUMBER(Datos!CD9),Datos!CD9,"-")</f>
        <v>-</v>
      </c>
      <c r="AJ9" s="1214" t="str">
        <f>IF(ISNUMBER(Datos!EN9),Datos!EN9," - ")</f>
        <v xml:space="preserve"> - </v>
      </c>
      <c r="AK9" s="333"/>
      <c r="AL9" s="478"/>
      <c r="AM9" s="1214">
        <f>IF(ISNUMBER(Datos!R9),Datos!R9," - ")</f>
        <v>7109</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592</v>
      </c>
      <c r="BD9" s="228">
        <f>IF(ISNUMBER(Datos!N9),Datos!N9," - ")</f>
        <v>573</v>
      </c>
      <c r="BE9" s="1214" t="str">
        <f>IF(ISNUMBER(Datos!BW9),Datos!BW9," - ")</f>
        <v xml:space="preserve"> - </v>
      </c>
      <c r="BF9" s="1214" t="str">
        <f>IF(ISNUMBER(Datos!BX9),Datos!BX9," - ")</f>
        <v xml:space="preserve"> - </v>
      </c>
      <c r="BG9" s="242">
        <f>IF(ISNUMBER(IF(J_V="SI",Datos!K9/Datos!J9,(Datos!K9+Datos!AA9)/(Datos!J9+Datos!Z9))),IF(J_V="SI",Datos!K9/Datos!J9,(Datos!K9+Datos!AA9)/(Datos!J9+Datos!Z9))," - ")</f>
        <v>0.98816901408450708</v>
      </c>
      <c r="BH9" s="1214">
        <f>IF(ISNUMBER(((IF(J_V="SI",Datos!L9/Datos!K9,(Datos!L9+Datos!AB9)/(Datos!K9+Datos!AA9)))*11)/factor_trimestre),((IF(J_V="SI",Datos!L9/Datos!K9,(Datos!L9+Datos!AB9)/(Datos!K9+Datos!AA9)))*11)/factor_trimestre," - ")</f>
        <v>10.604332953249715</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4.3446352561279905E-2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706.38720037933126</v>
      </c>
      <c r="CF9" s="228">
        <f ca="1">AVERAGEIFS($AB:$AB,$BW:$BW,BW9,$BX:$BX,BX9)</f>
        <v>706.38720037933126</v>
      </c>
      <c r="CG9" s="1191">
        <v>0.7</v>
      </c>
      <c r="CH9" s="1191">
        <f ca="1">AVERAGEIF($BW:$BW,$BW9,$AC:$AC)</f>
        <v>72.272727272727266</v>
      </c>
      <c r="CI9" s="228">
        <f ca="1">AVERAGEIFS($AC:$AC,$BW:$BW,$BW9,$BX:$BX,$BX9)</f>
        <v>72.272727272727266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1296.3333333333333</v>
      </c>
      <c r="CR9" s="228">
        <f ca="1">AVERAGEIFS($AF:$AF,$BW:$BW,BW9,$BX:$BX,BX9)</f>
        <v>1296.3333333333333</v>
      </c>
      <c r="CS9" s="1191">
        <v>1.3</v>
      </c>
      <c r="CT9" s="1191">
        <v>1.5</v>
      </c>
      <c r="CU9" s="1191">
        <f ca="1">AVERAGEIF($BW:$BW,$BW9,$AH:$AH)</f>
        <v>119.625</v>
      </c>
      <c r="CV9" s="228">
        <f ca="1">AVERAGEIFS($AH:$AH,$BW:$BW,$BW9,$BX:$BX,$BX9)</f>
        <v>119.625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2134.3636363636365</v>
      </c>
      <c r="DH9" s="1218">
        <f ca="1">AVERAGEIFS($AM:$AM,$BW:$BW,$BW9,$BX:$BX,$BX9)</f>
        <v>2134.3636363636365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6.4358459451794046</v>
      </c>
      <c r="ER9" s="1218">
        <f ca="1">AVERAGEIFS($BH:$BH,$BW:$BW,$BW9,$BX:$BX,$BX9)</f>
        <v>6.4358459451794046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1</v>
      </c>
      <c r="F10" s="224">
        <f>IF(ISNUMBER(Datos!L10+Datos!K10-Datos!J10),Datos!L10+Datos!K10-Datos!J10," - ")</f>
        <v>86</v>
      </c>
      <c r="G10" s="332">
        <f>IF(ISNUMBER(Datos!I10),Datos!I10," - ")</f>
        <v>86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13</v>
      </c>
      <c r="AC10" s="224">
        <f>IF(ISNUMBER(Datos!Q10),Datos!Q10," - ")</f>
        <v>10</v>
      </c>
      <c r="AD10" s="224"/>
      <c r="AE10" s="224"/>
      <c r="AF10" s="224">
        <f>IF(ISNUMBER(Datos!L10),Datos!L10,"-")</f>
        <v>88</v>
      </c>
      <c r="AG10" s="333"/>
      <c r="AH10" s="224"/>
      <c r="AI10" s="224"/>
      <c r="AJ10" s="1214"/>
      <c r="AK10" s="333"/>
      <c r="AL10" s="478"/>
      <c r="AM10" s="1214">
        <f>IF(ISNUMBER(Datos!R10),Datos!R10," - ")</f>
        <v>51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6</v>
      </c>
      <c r="BD10" s="228">
        <f>IF(ISNUMBER(Datos!N10),Datos!N10," - ")</f>
        <v>6</v>
      </c>
      <c r="BE10" s="1214" t="str">
        <f>IF(ISNUMBER(Datos!BW10),Datos!BW10," - ")</f>
        <v xml:space="preserve"> - </v>
      </c>
      <c r="BF10" s="1214" t="str">
        <f>IF(ISNUMBER(Datos!BX10),Datos!BX10," - ")</f>
        <v xml:space="preserve"> - </v>
      </c>
      <c r="BG10" s="242">
        <f>IF(ISNUMBER(Datos!K10/Datos!J10),Datos!K10/Datos!J10," - ")</f>
        <v>0.8666666666666667</v>
      </c>
      <c r="BH10" s="1214">
        <f>IF(ISNUMBER(((Datos!L10/Datos!K10)*11)/factor_trimestre),((Datos!L10/Datos!K10)*11)/factor_trimestre," - ")</f>
        <v>20.30769230769231</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-1.9230769230769232E-2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706.38720037933126</v>
      </c>
      <c r="CF10" s="228">
        <f ca="1">AVERAGEIFS($AB:$AB,$BW:$BW,BW10,$BX:$BX,BX10)</f>
        <v>706.38720037933126</v>
      </c>
      <c r="CG10" s="1191">
        <v>0.7</v>
      </c>
      <c r="CH10" s="1191">
        <f ca="1">AVERAGEIF($BW:$BW,BW10,$AC:$AC)</f>
        <v>72.272727272727266</v>
      </c>
      <c r="CI10" s="228">
        <f ca="1">AVERAGEIFS($AC:$AC,$BW:$BW,BW10,$BX:$BX,BX10)</f>
        <v>72.272727272727266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1296.3333333333333</v>
      </c>
      <c r="CR10" s="228">
        <f ca="1">AVERAGEIFS($AF:$AF,$BW:$BW,BW10,$BX:$BX,BX10)</f>
        <v>1296.3333333333333</v>
      </c>
      <c r="CS10" s="1191">
        <v>1.3</v>
      </c>
      <c r="CT10" s="1191">
        <v>1.5</v>
      </c>
      <c r="CU10" s="1191">
        <f ca="1">AVERAGEIF($BW:$BW,$BW10,$AH:$AH)</f>
        <v>119.625</v>
      </c>
      <c r="CV10" s="228">
        <f ca="1">AVERAGEIFS($AH:$AH,$BW:$BW,$BW10,$BX:$BX,$BX10)</f>
        <v>119.625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2134.3636363636365</v>
      </c>
      <c r="DH10" s="1218">
        <f ca="1">AVERAGEIFS($AM:$AM,$BW:$BW,$BW10,$BX:$BX,$BX10)</f>
        <v>2134.3636363636365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6.4358459451794046</v>
      </c>
      <c r="ER10" s="1218">
        <f ca="1">AVERAGEIFS($BH:$BH,$BW:$BW,$BW10,$BX:$BX,$BX10)</f>
        <v>6.4358459451794046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2</v>
      </c>
      <c r="B11" s="506" t="s">
        <v>247</v>
      </c>
      <c r="C11" s="7" t="str">
        <f>Datos!A11</f>
        <v xml:space="preserve">Sección de Familia, infancia e incapacidad del TI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194</v>
      </c>
      <c r="O11" s="333"/>
      <c r="P11" s="333"/>
      <c r="Q11" s="225">
        <f>IF(ISNUMBER(Datos!P11),Datos!P11,0)</f>
        <v>17</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53</v>
      </c>
      <c r="AD11" s="224"/>
      <c r="AE11" s="224"/>
      <c r="AF11" s="224" t="str">
        <f>IF(ISNUMBER(IF(J_V="SI",Datos!L11,Datos!L11+Datos!AB11)-IF(Monitorios="SI",Datos!CD11,0)),
                          IF(J_V="SI",Datos!L11,Datos!L11+Datos!AB11)-IF(Monitorios="SI",Datos!CD11,0),
                          " - ")</f>
        <v xml:space="preserve"> - </v>
      </c>
      <c r="AG11" s="333"/>
      <c r="AH11" s="224">
        <f>IF(ISNUMBER(Datos!AB11),Datos!AB11,"-")</f>
        <v>80</v>
      </c>
      <c r="AI11" s="224"/>
      <c r="AJ11" s="1214"/>
      <c r="AK11" s="333"/>
      <c r="AL11" s="478"/>
      <c r="AM11" s="1214">
        <f>IF(ISNUMBER(Datos!R11),Datos!R11," - ")</f>
        <v>330</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30</v>
      </c>
      <c r="BD11" s="228">
        <f>IF(ISNUMBER(Datos!N11),Datos!N11," - ")</f>
        <v>381</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0.92534381139489197</v>
      </c>
      <c r="BH11" s="1214">
        <f>IF(ISNUMBER(((IF(J_V="SI",Datos!L11/Datos!K11,(Datos!L11+Datos!AB11)/(Datos!K11+Datos!AA11)))*11)/factor_trimestre),((IF(J_V="SI",Datos!L11/Datos!K11,(Datos!L11+Datos!AB11)/(Datos!K11+Datos!AA11)))*11)/factor_trimestre," - ")</f>
        <v>4.0764331210191083</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-9.8360655737704916E-2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706.38720037933126</v>
      </c>
      <c r="CF11" s="228">
        <f ca="1">AVERAGEIFS($AB:$AB,$BW:$BW,BW11,$BX:$BX,BX11)</f>
        <v>706.38720037933126</v>
      </c>
      <c r="CG11" s="1191">
        <v>0.7</v>
      </c>
      <c r="CH11" s="1191">
        <f ca="1">AVERAGEIF($BW:$BW,BW11,$AC:$AC)</f>
        <v>72.272727272727266</v>
      </c>
      <c r="CI11" s="228">
        <f ca="1">AVERAGEIFS($AC:$AC,$BW:$BW,BW11,$BX:$BX,BX11)</f>
        <v>72.272727272727266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1296.3333333333333</v>
      </c>
      <c r="CR11" s="228">
        <f ca="1">AVERAGEIFS($AF:$AF,$BW:$BW,BW11,$BX:$BX,BX11)</f>
        <v>1296.3333333333333</v>
      </c>
      <c r="CS11" s="1191">
        <v>1.3</v>
      </c>
      <c r="CT11" s="1191">
        <v>1.5</v>
      </c>
      <c r="CU11" s="1191">
        <f ca="1">AVERAGEIF($BW:$BW,$BW11,$AH:$AH)</f>
        <v>119.625</v>
      </c>
      <c r="CV11" s="228">
        <f ca="1">AVERAGEIFS($AH:$AH,$BW:$BW,$BW11,$BX:$BX,$BX11)</f>
        <v>119.625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2134.3636363636365</v>
      </c>
      <c r="DH11" s="1218">
        <f ca="1">AVERAGEIFS($AM:$AM,$BW:$BW,$BW11,$BX:$BX,$BX11)</f>
        <v>2134.3636363636365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6.4358459451794046</v>
      </c>
      <c r="ER11" s="1218">
        <f ca="1">AVERAGEIFS($BH:$BH,$BW:$BW,$BW11,$BX:$BX,$BX11)</f>
        <v>6.4358459451794046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706.38720037933126</v>
      </c>
      <c r="CF12" s="228">
        <f ca="1">AVERAGEIFS($AB:$AB,$BW:$BW,BW12,$BX:$BX,BX12)</f>
        <v>706.38720037933126</v>
      </c>
      <c r="CG12" s="1191">
        <v>0.7</v>
      </c>
      <c r="CH12" s="1191">
        <f ca="1">AVERAGEIF($BW:$BW,BW12,$AC:$AC)</f>
        <v>72.272727272727266</v>
      </c>
      <c r="CI12" s="228">
        <f ca="1">AVERAGEIFS($AC:$AC,$BW:$BW,BW12,$BX:$BX,BX12)</f>
        <v>72.272727272727266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1296.3333333333333</v>
      </c>
      <c r="CR12" s="228">
        <f ca="1">AVERAGEIFS($AF:$AF,$BW:$BW,BW12,$BX:$BX,BX12)</f>
        <v>1296.3333333333333</v>
      </c>
      <c r="CS12" s="1191">
        <v>1.3</v>
      </c>
      <c r="CT12" s="1191">
        <v>1.5</v>
      </c>
      <c r="CU12" s="1191">
        <f ca="1">AVERAGEIF($BW:$BW,$BW12,$AH:$AH)</f>
        <v>119.625</v>
      </c>
      <c r="CV12" s="228">
        <f ca="1">AVERAGEIFS($AH:$AH,$BW:$BW,$BW12,$BX:$BX,$BX12)</f>
        <v>119.625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2134.3636363636365</v>
      </c>
      <c r="DH12" s="1218">
        <f ca="1">AVERAGEIFS($AM:$AM,$BW:$BW,$BW12,$BX:$BX,$BX12)</f>
        <v>2134.3636363636365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6.4358459451794046</v>
      </c>
      <c r="ER12" s="1218">
        <f ca="1">AVERAGEIFS($BH:$BH,$BW:$BW,$BW12,$BX:$BX,$BX12)</f>
        <v>6.4358459451794046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7</v>
      </c>
      <c r="F13" s="895">
        <f t="shared" si="1"/>
        <v>86</v>
      </c>
      <c r="G13" s="895">
        <f t="shared" si="1"/>
        <v>86</v>
      </c>
      <c r="H13" s="896">
        <f t="shared" si="1"/>
        <v>0</v>
      </c>
      <c r="I13" s="895">
        <f t="shared" si="1"/>
        <v>0</v>
      </c>
      <c r="J13" s="864">
        <f t="shared" si="1"/>
        <v>0</v>
      </c>
      <c r="K13" s="864">
        <f t="shared" si="1"/>
        <v>0</v>
      </c>
      <c r="L13" s="896">
        <f t="shared" si="1"/>
        <v>0</v>
      </c>
      <c r="M13" s="896">
        <f t="shared" si="1"/>
        <v>0</v>
      </c>
      <c r="N13" s="896">
        <f t="shared" si="1"/>
        <v>337</v>
      </c>
      <c r="O13" s="897">
        <f t="shared" si="1"/>
        <v>0</v>
      </c>
      <c r="P13" s="897">
        <f t="shared" si="1"/>
        <v>0</v>
      </c>
      <c r="Q13" s="896">
        <f t="shared" si="1"/>
        <v>489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13</v>
      </c>
      <c r="AC13" s="896">
        <f t="shared" si="2"/>
        <v>230</v>
      </c>
      <c r="AD13" s="896">
        <f t="shared" si="2"/>
        <v>0</v>
      </c>
      <c r="AE13" s="896">
        <f t="shared" si="2"/>
        <v>0</v>
      </c>
      <c r="AF13" s="896">
        <f t="shared" si="2"/>
        <v>88</v>
      </c>
      <c r="AG13" s="896">
        <f t="shared" si="2"/>
        <v>0</v>
      </c>
      <c r="AH13" s="896">
        <f t="shared" si="2"/>
        <v>319</v>
      </c>
      <c r="AI13" s="896">
        <f t="shared" si="2"/>
        <v>0</v>
      </c>
      <c r="AJ13" s="896">
        <f t="shared" si="2"/>
        <v>0</v>
      </c>
      <c r="AK13" s="896">
        <f t="shared" si="2"/>
        <v>0</v>
      </c>
      <c r="AL13" s="896">
        <f t="shared" si="2"/>
        <v>0</v>
      </c>
      <c r="AM13" s="896">
        <f t="shared" si="2"/>
        <v>7490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628</v>
      </c>
      <c r="BD13" s="896">
        <f t="shared" si="2"/>
        <v>960</v>
      </c>
      <c r="BE13" s="896">
        <f t="shared" si="2"/>
        <v>0</v>
      </c>
      <c r="BF13" s="896">
        <f t="shared" si="2"/>
        <v>0</v>
      </c>
      <c r="BG13" s="896">
        <f>IF(ISNUMBER(Datos!K13/Datos!J13),Datos!K13/Datos!J13," - ")</f>
        <v>0.97094801223241589</v>
      </c>
      <c r="BH13" s="900">
        <f>IF(ISNUMBER(((Datos!L13/Datos!K13)*11)/factor_trimestre),((Datos!L13/Datos!K13)*11)/factor_trimestre," - ")</f>
        <v>10.407874015748032</v>
      </c>
      <c r="BI13" s="896">
        <f>IF(ISNUMBER('Resol  Asuntos'!D13/NºAsuntos!G13),'Resol  Asuntos'!D13/NºAsuntos!G13," - ")</f>
        <v>0.28060768543342268</v>
      </c>
      <c r="BJ13" s="896" t="str">
        <f>IF(ISNUMBER(Datos!CI13/Datos!CJ13),Datos!CI13/Datos!CJ13," - ")</f>
        <v xml:space="preserve"> - </v>
      </c>
      <c r="BK13" s="896">
        <f>SUBTOTAL(9,BK8:BK12)</f>
        <v>0</v>
      </c>
      <c r="BL13" s="896">
        <f>IF(ISNUMBER((I13-AB13+L13)/(F13)),(I13-AB13+L13)/(F13)," - ")</f>
        <v>-0.15116279069767441</v>
      </c>
      <c r="BM13" s="901">
        <f>SUBTOTAL(9,BM9:BM12)</f>
        <v>-7.4145072407194243E-2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3</v>
      </c>
      <c r="B15" s="593" t="s">
        <v>397</v>
      </c>
      <c r="C15" s="598" t="str">
        <f>Datos!A15</f>
        <v xml:space="preserve">Seccion Instruccion Del T.I.                   </v>
      </c>
      <c r="D15" s="599"/>
      <c r="E15" s="1160">
        <f>IF(ISNUMBER(Datos!AQ15),Datos!AQ15," - ")</f>
        <v>3</v>
      </c>
      <c r="F15" s="594">
        <f>IF(ISNUMBER(AF15+AB15-Datos!J15-L15),AF15+AB15-Datos!J15-L15," - ")</f>
        <v>3288</v>
      </c>
      <c r="G15" s="596">
        <f>IF(ISNUMBER(IF(D_I="SI",Datos!I15,Datos!I15+Datos!AC15)),IF(D_I="SI",Datos!I15,Datos!I15+Datos!AC15)," - ")</f>
        <v>3372</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66</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1795</v>
      </c>
      <c r="AC15" s="224">
        <f>IF(ISNUMBER(Datos!Q15),Datos!Q15," - ")</f>
        <v>32</v>
      </c>
      <c r="AD15" s="224"/>
      <c r="AE15" s="224"/>
      <c r="AF15" s="224">
        <f>IF(ISNUMBER(IF(D_I="SI",Datos!L15,Datos!L15+Datos!AF15)),IF(D_I="SI",Datos!L15,Datos!L15+Datos!AF15)," - ")</f>
        <v>3297</v>
      </c>
      <c r="AG15" s="333"/>
      <c r="AH15" s="224"/>
      <c r="AI15" s="224"/>
      <c r="AJ15" s="1214"/>
      <c r="AK15" s="333"/>
      <c r="AL15" s="478"/>
      <c r="AM15" s="1214">
        <f>IF(ISNUMBER(Datos!R15),Datos!R15," - ")</f>
        <v>336</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250</v>
      </c>
      <c r="BD15" s="228">
        <f>IF(ISNUMBER(Datos!N15),Datos!N15," - ")</f>
        <v>999</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0.99501108647450109</v>
      </c>
      <c r="BH15" s="1214">
        <f>IF(ISNUMBER(((IF(D_I="SI",Datos!L15/Datos!K15,(Datos!L15+Datos!AF15)/(Datos!K15+Datos!AE15)))*11)/factor_trimestre),((IF(D_I="SI",Datos!L15/Datos!K15,(Datos!L15+Datos!AF15)/(Datos!K15+Datos!AE15)))*11)/factor_trimestre," - ")</f>
        <v>5.5103064066852374</v>
      </c>
      <c r="BI15" s="242">
        <f>IF(ISNUMBER('Resol  Asuntos'!D15/NºAsuntos!G15),'Resol  Asuntos'!D15/NºAsuntos!G15," - ")</f>
        <v>0.1392757660167131</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706.38720037933126</v>
      </c>
      <c r="CF15" s="228">
        <f ca="1">AVERAGEIFS($AB:$AB,$BW:$BW,BW15,$BX:$BX,BX15)</f>
        <v>706.38720037933126</v>
      </c>
      <c r="CG15" s="1191">
        <v>0.7</v>
      </c>
      <c r="CH15" s="1191">
        <f ca="1">AVERAGEIF($BW:$BW,BW15,$AC:$AC)</f>
        <v>72.272727272727266</v>
      </c>
      <c r="CI15" s="228">
        <f ca="1">AVERAGEIFS($AC:$AC,$BW:$BW,BW15,$BX:$BX,BX15)</f>
        <v>72.272727272727266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1296.3333333333333</v>
      </c>
      <c r="CR15" s="228">
        <f ca="1">AVERAGEIFS($AF:$AF,$BW:$BW,BW15,$BX:$BX,BX15)</f>
        <v>1296.3333333333333</v>
      </c>
      <c r="CS15" s="1191">
        <v>1.3</v>
      </c>
      <c r="CT15" s="1191">
        <v>1.5</v>
      </c>
      <c r="CU15" s="1191">
        <f ca="1">AVERAGEIF($BW:$BW,$BW15,$AH:$AH)</f>
        <v>119.625</v>
      </c>
      <c r="CV15" s="228">
        <f ca="1">AVERAGEIFS($AH:$AH,$BW:$BW,$BW15,$BX:$BX,$BX15)</f>
        <v>119.625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2134.3636363636365</v>
      </c>
      <c r="DH15" s="1218">
        <f ca="1">AVERAGEIFS($AM:$AM,$BW:$BW,$BW15,$BX:$BX,$BX15)</f>
        <v>2134.3636363636365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6.4358459451794046</v>
      </c>
      <c r="ER15" s="1218">
        <f ca="1">AVERAGEIFS($BH:$BH,$BW:$BW,$BW15,$BX:$BX,$BX15)</f>
        <v>6.4358459451794046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706.38720037933126</v>
      </c>
      <c r="CF16" s="1218">
        <f ca="1">AVERAGEIFS($AB:$AB,$BW:$BW,BW16,$BX:$BX,BX16)</f>
        <v>706.38720037933126</v>
      </c>
      <c r="CG16" s="1191">
        <v>0.7</v>
      </c>
      <c r="CH16" s="1191">
        <f ca="1">AVERAGEIF($BW:$BW,BW16,$AC:$AC)</f>
        <v>72.272727272727266</v>
      </c>
      <c r="CI16" s="1218">
        <f ca="1">AVERAGEIFS($AC:$AC,$BW:$BW,BW16,$BX:$BX,BX16)</f>
        <v>72.272727272727266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1296.3333333333333</v>
      </c>
      <c r="CR16" s="1218">
        <f ca="1">AVERAGEIFS($AF:$AF,$BW:$BW,BW16,$BX:$BX,BX16)</f>
        <v>1296.3333333333333</v>
      </c>
      <c r="CS16" s="1191">
        <v>1.3</v>
      </c>
      <c r="CT16" s="1191">
        <v>1.5</v>
      </c>
      <c r="CU16" s="1191">
        <f ca="1">AVERAGEIF($BW:$BW,$BW16,$AH:$AH)</f>
        <v>119.625</v>
      </c>
      <c r="CV16" s="1218">
        <f ca="1">AVERAGEIFS($AH:$AH,$BW:$BW,$BW16,$BX:$BX,$BX16)</f>
        <v>119.625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2134.3636363636365</v>
      </c>
      <c r="DH16" s="1218">
        <f ca="1">AVERAGEIFS($AM:$AM,$BW:$BW,$BW16,$BX:$BX,$BX16)</f>
        <v>2134.3636363636365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6.4358459451794046</v>
      </c>
      <c r="ER16" s="1218">
        <f ca="1">AVERAGEIFS($BH:$BH,$BW:$BW,$BW16,$BX:$BX,$BX16)</f>
        <v>6.4358459451794046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706.38720037933126</v>
      </c>
      <c r="CF17" s="228">
        <f ca="1">AVERAGEIFS($AB:$AB,$BW:$BW,BW17,$BX:$BX,BX17)</f>
        <v>706.38720037933126</v>
      </c>
      <c r="CG17" s="1191">
        <v>0.7</v>
      </c>
      <c r="CH17" s="1191">
        <f ca="1">AVERAGEIF($BW:$BW,BW17,$AC:$AC)</f>
        <v>72.272727272727266</v>
      </c>
      <c r="CI17" s="228">
        <f ca="1">AVERAGEIFS($AC:$AC,$BW:$BW,BW17,$BX:$BX,BX17)</f>
        <v>72.272727272727266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1296.3333333333333</v>
      </c>
      <c r="CR17" s="228">
        <f ca="1">AVERAGEIFS($AF:$AF,$BW:$BW,BW17,$BX:$BX,BX17)</f>
        <v>1296.3333333333333</v>
      </c>
      <c r="CS17" s="1191">
        <v>1.3</v>
      </c>
      <c r="CT17" s="1191">
        <v>1.5</v>
      </c>
      <c r="CU17" s="1191">
        <f ca="1">AVERAGEIF($BW:$BW,$BW17,$AH:$AH)</f>
        <v>119.625</v>
      </c>
      <c r="CV17" s="228">
        <f ca="1">AVERAGEIFS($AH:$AH,$BW:$BW,$BW17,$BX:$BX,$BX17)</f>
        <v>119.625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2134.3636363636365</v>
      </c>
      <c r="DH17" s="1218">
        <f ca="1">AVERAGEIFS($AM:$AM,$BW:$BW,$BW17,$BX:$BX,$BX17)</f>
        <v>2134.3636363636365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6.4358459451794046</v>
      </c>
      <c r="ER17" s="1218">
        <f ca="1">AVERAGEIFS($BH:$BH,$BW:$BW,$BW17,$BX:$BX,$BX17)</f>
        <v>6.4358459451794046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485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212</v>
      </c>
      <c r="AC18" s="224">
        <f>IF(ISNUMBER(Datos!Q18),Datos!Q18," - ")</f>
        <v>3</v>
      </c>
      <c r="AD18" s="224"/>
      <c r="AE18" s="224"/>
      <c r="AF18" s="224">
        <f>IF(ISNUMBER(Datos!L18),Datos!L18,"-")</f>
        <v>504</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47</v>
      </c>
      <c r="BD18" s="228">
        <f>IF(ISNUMBER(Datos!N18),Datos!N18," - ")</f>
        <v>103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0.90987124463519309</v>
      </c>
      <c r="BH18" s="1214">
        <f>IF(ISNUMBER(((IF(D_I="SI",Datos!L18/Datos!K18,(Datos!L18+Datos!AF18)/(Datos!K18+Datos!AE18)))*11)/factor_trimestre),((IF(D_I="SI",Datos!L18/Datos!K18,(Datos!L18+Datos!AF18)/(Datos!K18+Datos!AE18)))*11)/factor_trimestre," - ")</f>
        <v>7.132075471698113</v>
      </c>
      <c r="BI18" s="242">
        <f>IF(ISNUMBER('Resol  Asuntos'!D18/NºAsuntos!G18),'Resol  Asuntos'!D18/NºAsuntos!G18," - ")</f>
        <v>0.22169811320754718</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706.38720037933126</v>
      </c>
      <c r="CF18" s="228">
        <f ca="1">AVERAGEIFS($AB:$AB,$BW:$BW,BW18,$BX:$BX,BX18)</f>
        <v>706.38720037933126</v>
      </c>
      <c r="CG18" s="1191">
        <v>0.7</v>
      </c>
      <c r="CH18" s="1191">
        <f ca="1">AVERAGEIF($BW:$BW,BW18,$AC:$AC)</f>
        <v>72.272727272727266</v>
      </c>
      <c r="CI18" s="228">
        <f ca="1">AVERAGEIFS($AC:$AC,$BW:$BW,BW18,$BX:$BX,BX18)</f>
        <v>72.272727272727266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1296.3333333333333</v>
      </c>
      <c r="CR18" s="228">
        <f ca="1">AVERAGEIFS($AF:$AF,$BW:$BW,BW18,$BX:$BX,BX18)</f>
        <v>1296.3333333333333</v>
      </c>
      <c r="CS18" s="1191">
        <v>1.3</v>
      </c>
      <c r="CT18" s="1191">
        <v>1.5</v>
      </c>
      <c r="CU18" s="1191">
        <f ca="1">AVERAGEIF($BW:$BW,$BW18,$AH:$AH)</f>
        <v>119.625</v>
      </c>
      <c r="CV18" s="228">
        <f ca="1">AVERAGEIFS($AH:$AH,$BW:$BW,$BW18,$BX:$BX,$BX18)</f>
        <v>119.625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2134.3636363636365</v>
      </c>
      <c r="DH18" s="1218">
        <f ca="1">AVERAGEIFS($AM:$AM,$BW:$BW,$BW18,$BX:$BX,$BX18)</f>
        <v>2134.3636363636365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6.4358459451794046</v>
      </c>
      <c r="ER18" s="1218">
        <f ca="1">AVERAGEIFS($BH:$BH,$BW:$BW,$BW18,$BX:$BX,$BX18)</f>
        <v>6.4358459451794046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3288</v>
      </c>
      <c r="G19" s="895">
        <f>SUBTOTAL(9,G15:G18)</f>
        <v>3857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67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2007</v>
      </c>
      <c r="AC19" s="896">
        <f t="shared" si="5"/>
        <v>35</v>
      </c>
      <c r="AD19" s="896">
        <f t="shared" si="5"/>
        <v>0</v>
      </c>
      <c r="AE19" s="896">
        <f t="shared" si="5"/>
        <v>0</v>
      </c>
      <c r="AF19" s="896">
        <f t="shared" si="5"/>
        <v>3801</v>
      </c>
      <c r="AG19" s="896">
        <f t="shared" si="5"/>
        <v>0</v>
      </c>
      <c r="AH19" s="896">
        <f t="shared" si="5"/>
        <v>0</v>
      </c>
      <c r="AI19" s="896">
        <f t="shared" si="5"/>
        <v>0</v>
      </c>
      <c r="AJ19" s="896">
        <f t="shared" si="5"/>
        <v>0</v>
      </c>
      <c r="AK19" s="896">
        <f t="shared" si="5"/>
        <v>0</v>
      </c>
      <c r="AL19" s="896">
        <f t="shared" si="5"/>
        <v>0</v>
      </c>
      <c r="AM19" s="896">
        <f t="shared" si="5"/>
        <v>336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297</v>
      </c>
      <c r="BD19" s="896">
        <f t="shared" si="5"/>
        <v>1102</v>
      </c>
      <c r="BE19" s="896">
        <f t="shared" si="5"/>
        <v>0</v>
      </c>
      <c r="BF19" s="896">
        <f t="shared" si="5"/>
        <v>0</v>
      </c>
      <c r="BG19" s="896">
        <f>IF(ISNUMBER(Datos!K19/Datos!J19),Datos!K19/Datos!J19," - ")</f>
        <v>0.98527245949926368</v>
      </c>
      <c r="BH19" s="900">
        <f>IF(ISNUMBER(((Datos!L19/Datos!K19)*11)/factor_trimestre),((Datos!L19/Datos!K19)*11)/factor_trimestre," - ")</f>
        <v>5.6816143497757849</v>
      </c>
      <c r="BI19" s="896">
        <f>SUBTOTAL(9,BI15:BI18)</f>
        <v>0.36097387922426027</v>
      </c>
      <c r="BJ19" s="896">
        <f>SUBTOTAL(9,BJ15:BJ18)</f>
        <v>0</v>
      </c>
      <c r="BK19" s="896">
        <f>SUBTOTAL(9,BK15:BK18)</f>
        <v>0</v>
      </c>
      <c r="BL19" s="896">
        <f>IF(ISNUMBER((I19-AB19+L19)/(F19)),(I19-AB19+L19)/(F19)," - ")</f>
        <v>-0.61040145985401462</v>
      </c>
      <c r="BM19" s="902">
        <f>IF(ISNUMBER((Datos!P19-Datos!Q19)/(Datos!R19-Datos!P19+Datos!Q19)),(Datos!P19-Datos!Q19)/(Datos!R19-Datos!P19+Datos!Q19)," - ")</f>
        <v>0.10526315789473684</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11</v>
      </c>
      <c r="F20" s="817">
        <f t="shared" si="7"/>
        <v>3374</v>
      </c>
      <c r="G20" s="817">
        <f t="shared" si="7"/>
        <v>3943</v>
      </c>
      <c r="H20" s="819">
        <f t="shared" si="7"/>
        <v>0</v>
      </c>
      <c r="I20" s="817">
        <f t="shared" si="7"/>
        <v>0</v>
      </c>
      <c r="J20" s="819">
        <f t="shared" si="7"/>
        <v>0</v>
      </c>
      <c r="K20" s="819">
        <f t="shared" si="7"/>
        <v>0</v>
      </c>
      <c r="L20" s="878">
        <f t="shared" si="7"/>
        <v>0</v>
      </c>
      <c r="M20" s="878">
        <f t="shared" si="7"/>
        <v>0</v>
      </c>
      <c r="N20" s="878">
        <f t="shared" si="7"/>
        <v>337</v>
      </c>
      <c r="O20" s="878">
        <f t="shared" si="7"/>
        <v>0</v>
      </c>
      <c r="P20" s="878">
        <f t="shared" si="7"/>
        <v>0</v>
      </c>
      <c r="Q20" s="819">
        <f t="shared" si="7"/>
        <v>556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2020</v>
      </c>
      <c r="AC20" s="818">
        <f t="shared" si="8"/>
        <v>265</v>
      </c>
      <c r="AD20" s="818">
        <f t="shared" si="8"/>
        <v>0</v>
      </c>
      <c r="AE20" s="818">
        <f t="shared" si="8"/>
        <v>0</v>
      </c>
      <c r="AF20" s="825">
        <f t="shared" si="8"/>
        <v>3889</v>
      </c>
      <c r="AG20" s="825">
        <f t="shared" si="8"/>
        <v>0</v>
      </c>
      <c r="AH20" s="825">
        <f t="shared" si="8"/>
        <v>319</v>
      </c>
      <c r="AI20" s="825">
        <f t="shared" si="8"/>
        <v>0</v>
      </c>
      <c r="AJ20" s="818">
        <f t="shared" si="8"/>
        <v>0</v>
      </c>
      <c r="AK20" s="825">
        <f t="shared" si="8"/>
        <v>0</v>
      </c>
      <c r="AL20" s="825">
        <f t="shared" si="8"/>
        <v>0</v>
      </c>
      <c r="AM20" s="825">
        <f t="shared" si="8"/>
        <v>7826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925</v>
      </c>
      <c r="BD20" s="817">
        <f t="shared" si="8"/>
        <v>2062</v>
      </c>
      <c r="BE20" s="817">
        <f t="shared" si="8"/>
        <v>0</v>
      </c>
      <c r="BF20" s="827">
        <f t="shared" si="8"/>
        <v>0</v>
      </c>
      <c r="BG20" s="912">
        <f>IF(ISNUMBER(Datos!K20/Datos!J20),Datos!K20/Datos!J20," - ")</f>
        <v>0.97824456114028502</v>
      </c>
      <c r="BH20" s="912">
        <f>IF(ISNUMBER(((Datos!L20/Datos!K20)*11)/factor_trimestre),((Datos!L20/Datos!K20)*11)/factor_trimestre," - ")</f>
        <v>7.9831288343558278</v>
      </c>
      <c r="BI20" s="810">
        <f>IF(ISNUMBER(Datos!J20/Datos!I20),Datos!J20/Datos!I20," - ")</f>
        <v>0.38878086719813337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-0.59869590989922938</v>
      </c>
      <c r="BM20" s="886">
        <f>IF(ISNUMBER((Datos!P20-Datos!Q20+R20)/(Datos!R20-Datos!P20+Datos!Q20-R20)),(Datos!P20-Datos!Q20+R20)/(Datos!R20-Datos!P20+Datos!Q20-R20)," - ")</f>
        <v>3.8619774386197743E-2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1577.2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2.4404006956964168</v>
      </c>
      <c r="F22" s="550">
        <f>IF(ISNUMBER(STDEV(F8:F19)),STDEV(F8:F19),"-")</f>
        <v>1848.6755619451817</v>
      </c>
      <c r="G22" s="551">
        <f>IF(ISNUMBER(STDEV(G8:G19)),STDEV(G8:G19),"-")</f>
        <v>1874.7700392314787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1003.8720037933123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261.33421404127597</v>
      </c>
      <c r="BD22" s="550"/>
      <c r="BE22" s="550">
        <f>IF(ISNUMBER(STDEV(BE8:BE19)),STDEV(BE8:BE19),"-")</f>
        <v>0</v>
      </c>
      <c r="BF22" s="555">
        <f>IF(ISNUMBER(STDEV(BF8:BF19)),STDEV(BF8:BF19),"-")</f>
        <v>0</v>
      </c>
      <c r="BG22" s="772">
        <f>IF(ISNUMBER(STDEV(BG8:BG19)),STDEV(BG8:BG19),"-")</f>
        <v>4.8849546797611131E-2</v>
      </c>
      <c r="BH22" s="773">
        <f>IF(ISNUMBER(STDEV(BH8:BH19)),STDEV(BH8:BH19),"-")</f>
        <v>5.5266938819287201</v>
      </c>
      <c r="BI22" s="248">
        <f>IF(ISNUMBER(STDEV(BI8:BI19)),STDEV(BI8:BI19),"-")</f>
        <v>9.3650507191208987E-2</v>
      </c>
      <c r="BJ22" s="1415" t="str">
        <f>IF(ISNUMBER(BL22/BM22),BL22/BM22," - ")</f>
        <v xml:space="preserve"> - </v>
      </c>
      <c r="BK22" s="574"/>
      <c r="BL22" s="558">
        <f>IF(ISNUMBER(STDEV(BL8:BL19)),STDEV(BL8:BL19),"-")</f>
        <v>0.32473077714353354</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8tiltoCqulyg2hm0RfMdT8ejhgjBs7P8B6Nlca6yLjR0PP/hCxR2xNc4c+NL4S5jjyikfKjAPeUhd2gl1FVBSA==" saltValue="t5yxj30QJwjH7lAZ1L68g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A CORUÑA  Resumenes por Partidos Judiciales  SANTIAGO DE COMPOSTELA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0.28060768543342268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0.19841959722303476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be3eh8K5CjvP8qGbXg/0fHTNl7PgHUrjTptGD8KHYfOeAOpzOLiPkTzUAvz8hjZdk/bvrTRPmYr2eRRgWopROg==" saltValue="lmvvaoscS28G0031I5BU6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A CORUÑA</v>
      </c>
      <c r="C4" s="1461" t="str">
        <f>IF(Criterios!B11=0,"",Criterios!B11)</f>
        <v>SANTIAGO DE COMPOSTELA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T5c+H2Vx5BK+BUlymvDRcxP5Vabwx5unwGr+k4X9taANQ0U6qoJyowrS7Py7B0ZsWJDaJJktI9/ZooPdK0RMfA==" saltValue="ztHZ9R6AyAape9OmL1+We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A CORUÑA</v>
      </c>
      <c r="C3" s="414"/>
      <c r="F3" s="374"/>
      <c r="G3" s="374"/>
      <c r="H3" s="374"/>
    </row>
    <row r="4" spans="1:16" ht="13.5" thickBot="1">
      <c r="A4" s="374"/>
      <c r="B4" s="390" t="str">
        <f>Criterios!A11 &amp;"  "&amp;Criterios!B11</f>
        <v>Resumenes por Partidos Judiciales  SANTIAGO DE COMPOSTELA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1</v>
      </c>
      <c r="D11" s="402">
        <f>Datos!BK11</f>
        <v>0</v>
      </c>
      <c r="E11" s="402">
        <f>Datos!AQ11</f>
        <v>1</v>
      </c>
      <c r="F11" s="403">
        <f>IF(ISNUMBER(E11/Datos!BH11),E11/Datos!BH11," - ")</f>
        <v>0.33333333333333331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MFIU0/gTSgO1yQnYKNQFIuDoa2b2PvP0RNXwlGzNpy9bX5/oGMtDn7b6iBhb2Cgij5xJe9BqySmsMsK++ewHNw==" saltValue="UJZ0xkA9MECYy23Y0I8xA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SANTIAGO DE COMPOSTELA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5</v>
      </c>
      <c r="C9" s="409">
        <f>Datos!AQ9</f>
        <v>5</v>
      </c>
      <c r="D9" s="402">
        <f>IF(ISNUMBER(Datos!M9),Datos!M9," - ")</f>
        <v>592</v>
      </c>
      <c r="E9" s="403">
        <f t="shared" ref="E9:E13" si="0">IF(ISNUMBER(D9/B9),D9/B9," - ")</f>
        <v>118.4</v>
      </c>
      <c r="F9" s="402">
        <f>IF(ISNUMBER(Datos!N9),Datos!N9," - ")</f>
        <v>573</v>
      </c>
      <c r="G9" s="403">
        <f t="shared" ref="G9:G13" si="1">IF(ISNUMBER(F9/B9),F9/B9," - ")</f>
        <v>114.6</v>
      </c>
      <c r="H9" s="402">
        <f>IF(ISNUMBER(Datos!O9),Datos!O9," - ")</f>
        <v>687</v>
      </c>
      <c r="I9" s="403">
        <f>IF(ISNUMBER(H9/B9),H9/B9," - ")</f>
        <v>137.4</v>
      </c>
      <c r="BZ9" s="1181">
        <f>Datos!EZ9</f>
        <v>0</v>
      </c>
    </row>
    <row r="10" spans="1:78">
      <c r="A10" s="401" t="str">
        <f>Datos!A10</f>
        <v>Sección De Violencia sobre la Mujer del TI</v>
      </c>
      <c r="B10" s="426">
        <f>Datos!AO10</f>
        <v>2</v>
      </c>
      <c r="C10" s="409">
        <f>Datos!AQ10</f>
        <v>1</v>
      </c>
      <c r="D10" s="402">
        <f>IF(ISNUMBER(Datos!M10),Datos!M10," - ")</f>
        <v>6</v>
      </c>
      <c r="E10" s="403">
        <f>IF(ISNUMBER(D10/B10),D10/B10," - ")</f>
        <v>3</v>
      </c>
      <c r="F10" s="402">
        <f>IF(ISNUMBER(Datos!N10),Datos!N10," - ")</f>
        <v>6</v>
      </c>
      <c r="G10" s="403">
        <f>IF(ISNUMBER(F10/B10),F10/B10," - ")</f>
        <v>3</v>
      </c>
      <c r="H10" s="402">
        <f>IF(ISNUMBER(Datos!O10),Datos!O10," - ")</f>
        <v>8</v>
      </c>
      <c r="I10" s="403">
        <f t="shared" ref="I10:I12" si="2">IF(ISNUMBER(H10/B10),H10/B10," - ")</f>
        <v>4</v>
      </c>
      <c r="BZ10" s="1181">
        <f>Datos!EZ10</f>
        <v>0</v>
      </c>
    </row>
    <row r="11" spans="1:78">
      <c r="A11" s="401" t="str">
        <f>Datos!A11</f>
        <v xml:space="preserve">Sección de Familia, infancia e incapacidad del TI                           </v>
      </c>
      <c r="B11" s="426">
        <f>Datos!AO11</f>
        <v>2</v>
      </c>
      <c r="C11" s="409">
        <f>Datos!AQ11</f>
        <v>1</v>
      </c>
      <c r="D11" s="402">
        <f>IF(ISNUMBER(Datos!M11),Datos!M11," - ")</f>
        <v>30</v>
      </c>
      <c r="E11" s="403">
        <f t="shared" si="0"/>
        <v>15</v>
      </c>
      <c r="F11" s="402">
        <f>IF(ISNUMBER(Datos!N11),Datos!N11," - ")</f>
        <v>381</v>
      </c>
      <c r="G11" s="403">
        <f t="shared" si="1"/>
        <v>190.5</v>
      </c>
      <c r="H11" s="402">
        <f>IF(ISNUMBER(Datos!O11),Datos!O11," - ")</f>
        <v>90</v>
      </c>
      <c r="I11" s="403">
        <f t="shared" si="2"/>
        <v>45</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8</v>
      </c>
      <c r="C13" s="848">
        <f>Datos!AR13</f>
        <v>7</v>
      </c>
      <c r="D13" s="846">
        <f>SUBTOTAL(9,D9:D12)</f>
        <v>628</v>
      </c>
      <c r="E13" s="847">
        <f t="shared" si="0"/>
        <v>78.5</v>
      </c>
      <c r="F13" s="846">
        <f>SUBTOTAL(9,F9:F12)</f>
        <v>960</v>
      </c>
      <c r="G13" s="847">
        <f t="shared" si="1"/>
        <v>120</v>
      </c>
      <c r="H13" s="846">
        <f>SUBTOTAL(9,H9:H12)</f>
        <v>785</v>
      </c>
      <c r="I13" s="847">
        <f>IF(ISNUMBER(H13/B13),H13/B13," - ")</f>
        <v>98.125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3</v>
      </c>
      <c r="C15" s="427">
        <f>Datos!AQ15</f>
        <v>3</v>
      </c>
      <c r="D15" s="402">
        <f>IF(ISNUMBER(Datos!M15),Datos!M15," - ")</f>
        <v>250</v>
      </c>
      <c r="E15" s="403">
        <f t="shared" ref="E15:E19" si="3">IF(ISNUMBER(D15/B15),D15/B15," - ")</f>
        <v>83.333333333333329</v>
      </c>
      <c r="F15" s="402">
        <f>IF(ISNUMBER(Datos!N15),Datos!N15," - ")</f>
        <v>999</v>
      </c>
      <c r="G15" s="403">
        <f t="shared" ref="G15:G19" si="4">IF(ISNUMBER(F15/B15),F15/B15," - ")</f>
        <v>333</v>
      </c>
      <c r="H15" s="402">
        <f>IF(ISNUMBER(Datos!O15),Datos!O15," - ")</f>
        <v>29</v>
      </c>
      <c r="I15" s="403">
        <f t="shared" ref="I15:I18" si="5">IF(ISNUMBER(H15/B15),H15/B15," - ")</f>
        <v>9.6666666666666661</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2</v>
      </c>
      <c r="C18" s="427">
        <f>Datos!AQ18</f>
        <v>1</v>
      </c>
      <c r="D18" s="402">
        <f>IF(ISNUMBER(Datos!M18),Datos!M18," - ")</f>
        <v>47</v>
      </c>
      <c r="E18" s="403">
        <f>IF(ISNUMBER(D18/B18),D18/B18," - ")</f>
        <v>23.5</v>
      </c>
      <c r="F18" s="402">
        <f>IF(ISNUMBER(Datos!N18),Datos!N18," - ")</f>
        <v>103</v>
      </c>
      <c r="G18" s="403">
        <f>IF(ISNUMBER(F18/B18),F18/B18," - ")</f>
        <v>51.5</v>
      </c>
      <c r="H18" s="402">
        <f>IF(ISNUMBER(Datos!O18),Datos!O18," - ")</f>
        <v>3</v>
      </c>
      <c r="I18" s="403">
        <f t="shared" si="5"/>
        <v>1.5</v>
      </c>
      <c r="BZ18" s="1181">
        <f>Datos!EZ18</f>
        <v>0</v>
      </c>
    </row>
    <row r="19" spans="1:78" ht="14.25" thickTop="1" thickBot="1">
      <c r="A19" s="845" t="str">
        <f>Datos!A19</f>
        <v>TOTAL</v>
      </c>
      <c r="B19" s="846">
        <f>Datos!AP19</f>
        <v>4</v>
      </c>
      <c r="C19" s="848">
        <f>Datos!AR19</f>
        <v>4</v>
      </c>
      <c r="D19" s="846">
        <f>SUBTOTAL(9,D15:D18)</f>
        <v>297</v>
      </c>
      <c r="E19" s="847">
        <f t="shared" si="3"/>
        <v>74.25</v>
      </c>
      <c r="F19" s="846">
        <f>SUBTOTAL(9,F15:F18)</f>
        <v>1102</v>
      </c>
      <c r="G19" s="847">
        <f t="shared" si="4"/>
        <v>275.5</v>
      </c>
      <c r="H19" s="846">
        <f>SUBTOTAL(9,H15:H18)</f>
        <v>32</v>
      </c>
      <c r="I19" s="847">
        <f>IF(ISNUMBER(H19/B19),H19/B19," - ")</f>
        <v>8</v>
      </c>
      <c r="BZ19" s="1181"/>
    </row>
    <row r="20" spans="1:78" ht="14.25" thickTop="1" thickBot="1">
      <c r="A20" s="790" t="str">
        <f>Datos!A20</f>
        <v>TOTAL JURISDICCIONES</v>
      </c>
      <c r="B20" s="791">
        <f>Datos!AP20</f>
        <v>11</v>
      </c>
      <c r="C20" s="791">
        <f>Datos!AR20</f>
        <v>10</v>
      </c>
      <c r="D20" s="791">
        <f>SUBTOTAL(9,D8:D19)</f>
        <v>925</v>
      </c>
      <c r="E20" s="792">
        <f>IF(ISNUMBER(D20/B20),D20/B20," - ")</f>
        <v>84.090909090909093</v>
      </c>
      <c r="F20" s="791">
        <f>SUBTOTAL(9,F8:F19)</f>
        <v>2062</v>
      </c>
      <c r="G20" s="792">
        <f>IF(ISNUMBER(F20/B20),F20/B20," - ")</f>
        <v>187.45454545454547</v>
      </c>
      <c r="H20" s="791">
        <f>SUBTOTAL(9,H8:H19)</f>
        <v>817</v>
      </c>
      <c r="I20" s="792">
        <f>IF(ISNUMBER(H20/B20),H20/B20," - ")</f>
        <v>74.272727272727266</v>
      </c>
    </row>
    <row r="23" spans="1:78">
      <c r="A23" s="390" t="str">
        <f>Criterios!A4</f>
        <v>Fecha Informe: 18 jun. 2026</v>
      </c>
    </row>
    <row r="28" spans="1:78">
      <c r="A28" s="413"/>
    </row>
  </sheetData>
  <sheetProtection algorithmName="SHA-512" hashValue="6Mwb3KqhOIjleQzWth+K8NbjmfjiERQlZeBpWr+fYWTOM5IJnwrlNVYvg6nVd2H22m96VOYw+TmrveM4OHnPuA==" saltValue="rOu7DVn3mbIzSB54j/Wb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SANTIAGO DE COMPOSTELA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463</v>
      </c>
      <c r="C9" s="433">
        <f>IF(ISNUMBER(Datos!Q9),Datos!Q9," - ")</f>
        <v>167</v>
      </c>
      <c r="D9" s="407">
        <f>IF(ISNUMBER(Datos!R9),Datos!R9," - ")</f>
        <v>7109</v>
      </c>
    </row>
    <row r="10" spans="1:4">
      <c r="A10" s="401" t="str">
        <f>Datos!A10</f>
        <v>Sección De Violencia sobre la Mujer del TI</v>
      </c>
      <c r="B10" s="432">
        <f>IF(ISNUMBER(Datos!P10),Datos!P10," - ")</f>
        <v>9</v>
      </c>
      <c r="C10" s="433">
        <f>IF(ISNUMBER(Datos!Q10),Datos!Q10," - ")</f>
        <v>10</v>
      </c>
      <c r="D10" s="407">
        <f>IF(ISNUMBER(Datos!R10),Datos!R10," - ")</f>
        <v>51</v>
      </c>
    </row>
    <row r="11" spans="1:4">
      <c r="A11" s="401" t="str">
        <f>Datos!A11</f>
        <v xml:space="preserve">Sección de Familia, infancia e incapacidad del TI                           </v>
      </c>
      <c r="B11" s="432">
        <f>IF(ISNUMBER(Datos!P11),Datos!P11," - ")</f>
        <v>17</v>
      </c>
      <c r="C11" s="433">
        <f>IF(ISNUMBER(Datos!Q11),Datos!Q11," - ")</f>
        <v>53</v>
      </c>
      <c r="D11" s="407">
        <f>IF(ISNUMBER(Datos!R11),Datos!R11," - ")</f>
        <v>330</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489</v>
      </c>
      <c r="C13" s="850">
        <f>SUBTOTAL(9,C9:C12)</f>
        <v>230</v>
      </c>
      <c r="D13" s="848">
        <f>SUBTOTAL(9,D9:D12)</f>
        <v>7490</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66</v>
      </c>
      <c r="C15" s="433">
        <f>IF(ISNUMBER(Datos!Q15),Datos!Q15," - ")</f>
        <v>32</v>
      </c>
      <c r="D15" s="407">
        <f>IF(ISNUMBER(Datos!R15),Datos!R15," - ")</f>
        <v>336</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1</v>
      </c>
      <c r="C18" s="433">
        <f>IF(ISNUMBER(Datos!Q18),Datos!Q18," - ")</f>
        <v>3</v>
      </c>
      <c r="D18" s="407">
        <f>IF(ISNUMBER(Datos!R18),Datos!R18," - ")</f>
        <v>0</v>
      </c>
    </row>
    <row r="19" spans="1:4" ht="14.25" thickTop="1" thickBot="1">
      <c r="A19" s="845" t="str">
        <f>Datos!A19</f>
        <v>TOTAL</v>
      </c>
      <c r="B19" s="846">
        <f>SUBTOTAL(9,B15:B18)</f>
        <v>67</v>
      </c>
      <c r="C19" s="850">
        <f>SUBTOTAL(9,C15:C18)</f>
        <v>35</v>
      </c>
      <c r="D19" s="848">
        <f>SUBTOTAL(9,D15:D18)</f>
        <v>336</v>
      </c>
    </row>
    <row r="20" spans="1:4" ht="16.5" customHeight="1" thickTop="1" thickBot="1">
      <c r="A20" s="790" t="str">
        <f>Datos!A20</f>
        <v>TOTAL JURISDICCIONES</v>
      </c>
      <c r="B20" s="795">
        <f>SUBTOTAL(9,B8:B19)</f>
        <v>556</v>
      </c>
      <c r="C20" s="796">
        <f>SUBTOTAL(9,C8:C19)</f>
        <v>265</v>
      </c>
      <c r="D20" s="797">
        <f>SUBTOTAL(9,D8:D19)</f>
        <v>7826</v>
      </c>
    </row>
    <row r="21" spans="1:4" ht="7.5" customHeight="1"/>
    <row r="22" spans="1:4" ht="6" customHeight="1"/>
    <row r="23" spans="1:4">
      <c r="A23" s="390" t="str">
        <f>Criterios!A4</f>
        <v>Fecha Informe: 18 jun. 2026</v>
      </c>
    </row>
    <row r="28" spans="1:4">
      <c r="A28" s="413"/>
    </row>
  </sheetData>
  <sheetProtection algorithmName="SHA-512" hashValue="zzbbeaqU3A3njVePMAcNqvPTtxZAvj2qFWjndOHxMEc4awCaU8xNvIvrVvUXqw0uONmChi7I7nucMabX/bojDg==" saltValue="/d3E/p9t8t7SUN6Upr8G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SANTIAGO DE COMPOSTELA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-0.11432748538011696</v>
      </c>
      <c r="C9" s="455">
        <f>IF(ISNUMBER(
   IF(J_V="SI",(Datos!J9-Datos!T9)/Datos!T9,(Datos!J9+Datos!Z9-(Datos!T9+Datos!AH9))/(Datos!T9+Datos!AH9))
     ),IF(J_V="SI",(Datos!J9-Datos!T9)/Datos!T9,(Datos!J9+Datos!Z9-(Datos!T9+Datos!AH9))/(Datos!T9+Datos!AH9))," - ")</f>
        <v>-0.27610114192495921</v>
      </c>
      <c r="D9" s="455">
        <f>IF(ISNUMBER(
   IF(J_V="SI",(Datos!K9-Datos!U9)/Datos!U9,(Datos!K9+Datos!AA9-(Datos!U9+Datos!AI9))/(Datos!U9+Datos!AI9))
     ),IF(J_V="SI",(Datos!K9-Datos!U9)/Datos!U9,(Datos!K9+Datos!AA9-(Datos!U9+Datos!AI9))/(Datos!U9+Datos!AI9))," - ")</f>
        <v>-8.6933888599687661E-2</v>
      </c>
      <c r="E9" s="455">
        <f>IF(ISNUMBER(
   IF(J_V="SI",(Datos!L9-Datos!V9)/Datos!V9,(Datos!L9+Datos!AB9-(Datos!V9+Datos!AJ9))/(Datos!V9+Datos!AJ9))
     ),IF(J_V="SI",(Datos!L9-Datos!V9)/Datos!V9,(Datos!L9+Datos!AB9-(Datos!V9+Datos!AJ9))/(Datos!V9+Datos!AJ9))," - ")</f>
        <v>-0.12429378531073447</v>
      </c>
      <c r="F9" s="455">
        <f>IF(ISNUMBER((Datos!M9-Datos!W9)/Datos!W9),(Datos!M9-Datos!W9)/Datos!W9," - ")</f>
        <v>-1.3333333333333334E-2</v>
      </c>
      <c r="G9" s="456">
        <f>IF(ISNUMBER((Datos!N9-Datos!X9)/Datos!X9),(Datos!N9-Datos!X9)/Datos!X9," - ")</f>
        <v>-0.2644415917843389</v>
      </c>
      <c r="H9" s="454">
        <f>IF(ISNUMBER(((NºAsuntos!G9/NºAsuntos!E9)-Datos!BD9)/Datos!BD9),((NºAsuntos!G9/NºAsuntos!E9)-Datos!BD9)/Datos!BD9," - ")</f>
        <v>0.26131724234003723</v>
      </c>
      <c r="I9" s="455">
        <f>IF(ISNUMBER(((NºAsuntos!I9/NºAsuntos!G9)-Datos!BE9)/Datos!BE9),((NºAsuntos!I9/NºAsuntos!G9)-Datos!BE9)/Datos!BE9," - ")</f>
        <v>-4.0916967834618498E-2</v>
      </c>
      <c r="J9" s="460">
        <f>IF(ISNUMBER((('Resol  Asuntos'!D9/NºAsuntos!G9)-Datos!BF9)/Datos!BF9),(('Resol  Asuntos'!D9/NºAsuntos!G9)-Datos!BF9)/Datos!BF9," - ")</f>
        <v>-0.16769591749209217</v>
      </c>
      <c r="K9" s="461">
        <f>IF(ISNUMBER((((NºAsuntos!C9+NºAsuntos!E9)/NºAsuntos!G9)-Datos!BG9)/Datos!BG9),(((NºAsuntos!C9+NºAsuntos!E9)/NºAsuntos!G9)-Datos!BG9)/Datos!BG9," - ")</f>
        <v>-7.6755559275128449E-2</v>
      </c>
    </row>
    <row r="10" spans="1:11" ht="21">
      <c r="A10" s="401" t="str">
        <f>Datos!A10</f>
        <v>Sección De Violencia sobre la Mujer del TI</v>
      </c>
      <c r="B10" s="454">
        <f>IF(ISNUMBER((Datos!I10-Datos!S10)/Datos!S10),(Datos!I10-Datos!S10)/Datos!S10," - ")</f>
        <v>-4.4444444444444446E-2</v>
      </c>
      <c r="C10" s="455">
        <f>IF(ISNUMBER((Datos!J10-Datos!T10)/Datos!T10),(Datos!J10-Datos!T10)/Datos!T10," - ")</f>
        <v>-0.11764705882352941</v>
      </c>
      <c r="D10" s="455">
        <f>IF(ISNUMBER((Datos!K10-Datos!U10)/Datos!U10),(Datos!K10-Datos!U10)/Datos!U10," - ")</f>
        <v>-0.64864864864864868</v>
      </c>
      <c r="E10" s="455">
        <f>IF(ISNUMBER((Datos!L10-Datos!V10)/Datos!V10),(Datos!L10-Datos!V10)/Datos!V10," - ")</f>
        <v>0.25714285714285712</v>
      </c>
      <c r="F10" s="455">
        <f>IF(ISNUMBER((Datos!M10-Datos!W10)/Datos!W10),(Datos!M10-Datos!W10)/Datos!W10," - ")</f>
        <v>-0.7142857142857143</v>
      </c>
      <c r="G10" s="456">
        <f>IF(ISNUMBER((Datos!N10-Datos!X10)/Datos!X10),(Datos!N10-Datos!X10)/Datos!X10," - ")</f>
        <v>-0.5</v>
      </c>
      <c r="H10" s="454">
        <f>IF(ISNUMBER(((NºAsuntos!G10/NºAsuntos!E10)-Datos!BD10)/Datos!BD10),((NºAsuntos!G10/NºAsuntos!E10)-Datos!BD10)/Datos!BD10," - ")</f>
        <v>-0.60180180180180176</v>
      </c>
      <c r="I10" s="455">
        <f>IF(ISNUMBER(((NºAsuntos!I10/NºAsuntos!G10)-Datos!BE10)/Datos!BE10),((NºAsuntos!I10/NºAsuntos!G10)-Datos!BE10)/Datos!BE10," - ")</f>
        <v>2.5780219780219777</v>
      </c>
      <c r="J10" s="460">
        <f>IF(ISNUMBER((('Resol  Asuntos'!D10/NºAsuntos!G10)-Datos!BF10)/Datos!BF10),(('Resol  Asuntos'!D10/NºAsuntos!G10)-Datos!BF10)/Datos!BF10," - ")</f>
        <v>-0.18681318681318673</v>
      </c>
      <c r="K10" s="461">
        <f>IF(ISNUMBER((((NºAsuntos!C10+NºAsuntos!E10)/NºAsuntos!G10)-Datos!BG10)/Datos!BG10),(((NºAsuntos!C10+NºAsuntos!E10)/NºAsuntos!G10)-Datos!BG10)/Datos!BG10," - ")</f>
        <v>1.6865564342199855</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-0.33259176863181311</v>
      </c>
      <c r="C11" s="455">
        <f>IF(ISNUMBER(
   IF(J_V="SI",(Datos!J11-Datos!T11)/Datos!T11,(Datos!J11+Datos!Z11-(Datos!T11+Datos!AH11))/(Datos!T11+Datos!AH11))
     ),IF(J_V="SI",(Datos!J11-Datos!T11)/Datos!T11,(Datos!J11+Datos!Z11-(Datos!T11+Datos!AH11))/(Datos!T11+Datos!AH11))," - ")</f>
        <v>-0.10387323943661972</v>
      </c>
      <c r="D11" s="455">
        <f>IF(ISNUMBER(
   IF(J_V="SI",(Datos!K11-Datos!U11)/Datos!U11,(Datos!K11+Datos!AA11-(Datos!U11+Datos!AI11))/(Datos!U11+Datos!AI11))
     ),IF(J_V="SI",(Datos!K11-Datos!U11)/Datos!U11,(Datos!K11+Datos!AA11-(Datos!U11+Datos!AI11))/(Datos!U11+Datos!AI11))," - ")</f>
        <v>-0.13259668508287292</v>
      </c>
      <c r="E11" s="455">
        <f>IF(ISNUMBER(
   IF(J_V="SI",(Datos!L11-Datos!V11)/Datos!V11,(Datos!L11+Datos!AB11-(Datos!V11+Datos!AJ11))/(Datos!V11+Datos!AJ11))
     ),IF(J_V="SI",(Datos!L11-Datos!V11)/Datos!V11,(Datos!L11+Datos!AB11-(Datos!V11+Datos!AJ11))/(Datos!V11+Datos!AJ11))," - ")</f>
        <v>-0.30359085963003263</v>
      </c>
      <c r="F11" s="455">
        <f>IF(ISNUMBER((Datos!M11-Datos!W11)/Datos!W11),(Datos!M11-Datos!W11)/Datos!W11," - ")</f>
        <v>-0.68085106382978722</v>
      </c>
      <c r="G11" s="456">
        <f>IF(ISNUMBER((Datos!N11-Datos!X11)/Datos!X11),(Datos!N11-Datos!X11)/Datos!X11," - ")</f>
        <v>-7.9710144927536225E-2</v>
      </c>
      <c r="H11" s="454">
        <f>IF(ISNUMBER(((NºAsuntos!G11/NºAsuntos!E11)-Datos!BD11)/Datos!BD11),((NºAsuntos!G11/NºAsuntos!E11)-Datos!BD11)/Datos!BD11," - ")</f>
        <v>-3.205288237145739E-2</v>
      </c>
      <c r="I11" s="455">
        <f>IF(ISNUMBER(((NºAsuntos!I11/NºAsuntos!G11)-Datos!BE11)/Datos!BE11),((NºAsuntos!I11/NºAsuntos!G11)-Datos!BE11)/Datos!BE11," - ")</f>
        <v>-0.19713341142061094</v>
      </c>
      <c r="J11" s="460">
        <f>IF(ISNUMBER((('Resol  Asuntos'!D11/NºAsuntos!G11)-Datos!BF11)/Datos!BF11),(('Resol  Asuntos'!D11/NºAsuntos!G11)-Datos!BF11)/Datos!BF11," - ")</f>
        <v>-0.91645896796824522</v>
      </c>
      <c r="K11" s="461">
        <f>IF(ISNUMBER((((NºAsuntos!C11+NºAsuntos!E11)/NºAsuntos!G11)-Datos!BG11)/Datos!BG11),(((NºAsuntos!C11+NºAsuntos!E11)/NºAsuntos!G11)-Datos!BG11)/Datos!BG11," - ")</f>
        <v>-0.12847398608017574</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-0.13858730361476562</v>
      </c>
      <c r="C13" s="852">
        <f>IF(ISNUMBER(
   IF(J_V="SI",(Datos!J13-Datos!T13)/Datos!T13,(Datos!J13+Datos!Z13-(Datos!T13+Datos!AH13))/(Datos!T13+Datos!AH13))
     ),IF(J_V="SI",(Datos!J13-Datos!T13)/Datos!T13,(Datos!J13+Datos!Z13-(Datos!T13+Datos!AH13))/(Datos!T13+Datos!AH13))," - ")</f>
        <v>-0.2430029634507738</v>
      </c>
      <c r="D13" s="852">
        <f>IF(ISNUMBER(
   IF(J_V="SI",(Datos!K13-Datos!U13)/Datos!U13,(Datos!K13+Datos!AA13-(Datos!U13+Datos!AI13))/(Datos!U13+Datos!AI13))
     ),IF(J_V="SI",(Datos!K13-Datos!U13)/Datos!U13,(Datos!K13+Datos!AA13-(Datos!U13+Datos!AI13))/(Datos!U13+Datos!AI13))," - ")</f>
        <v>-0.10515793682526989</v>
      </c>
      <c r="E13" s="852">
        <f>IF(ISNUMBER(
   IF(J_V="SI",(Datos!L13-Datos!V13)/Datos!V13,(Datos!L13+Datos!AB13-(Datos!V13+Datos!AJ13))/(Datos!V13+Datos!AJ13))
     ),IF(J_V="SI",(Datos!L13-Datos!V13)/Datos!V13,(Datos!L13+Datos!AB13-(Datos!V13+Datos!AJ13))/(Datos!V13+Datos!AJ13))," - ")</f>
        <v>-0.14140537860949312</v>
      </c>
      <c r="F13" s="853">
        <f>IF(ISNUMBER((Datos!M13-Datos!W13)/Datos!W13),(Datos!M13-Datos!W13)/Datos!W13," - ")</f>
        <v>-0.12167832167832168</v>
      </c>
      <c r="G13" s="854">
        <f>IF(ISNUMBER((Datos!N13-Datos!X13)/Datos!X13),(Datos!N13-Datos!X13)/Datos!X13," - ")</f>
        <v>-0.2033195020746888</v>
      </c>
      <c r="H13" s="854">
        <f>IF(ISNUMBER(((NºAsuntos!G13/NºAsuntos!E13)-Datos!BD13)/Datos!BD13),((NºAsuntos!G13/NºAsuntos!E13)-Datos!BD13)/Datos!BD13," - ")</f>
        <v>0.18209453930476532</v>
      </c>
      <c r="I13" s="854">
        <f>IF(ISNUMBER(((NºAsuntos!I13/NºAsuntos!G13)-Datos!BE13)/Datos!BE13),((NºAsuntos!I13/NºAsuntos!G13)-Datos!BE13)/Datos!BE13," - ")</f>
        <v>-4.0507083066283429E-2</v>
      </c>
      <c r="J13" s="854">
        <f>IF(ISNUMBER((('Resol  Asuntos'!D13/NºAsuntos!G13)-Datos!BF13)/Datos!BF13),(('Resol  Asuntos'!D13/NºAsuntos!G13)-Datos!BF13)/Datos!BF13," - ")</f>
        <v>-0.42191118511615305</v>
      </c>
      <c r="K13" s="854">
        <f>IF(ISNUMBER((((NºAsuntos!C13+NºAsuntos!E13)/NºAsuntos!G13)-Datos!BG13)/Datos!BG13),(((NºAsuntos!C13+NºAsuntos!E13)/NºAsuntos!G13)-Datos!BG13)/Datos!BG13," - ")</f>
        <v>-6.997110959454575E-2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7.1837253655435473E-2</v>
      </c>
      <c r="C15" s="455">
        <f>IF(ISNUMBER(
   IF(D_I="SI",(Datos!J15-Datos!T15)/Datos!T15,(Datos!J15+Datos!AD15-(Datos!T15+Datos!AL15))/(Datos!T15+Datos!AL15))
     ),IF(D_I="SI",(Datos!J15-Datos!T15)/Datos!T15,(Datos!J15+Datos!AD15-(Datos!T15+Datos!AL15))/(Datos!T15+Datos!AL15))," - ")</f>
        <v>-0.16866359447004609</v>
      </c>
      <c r="D15" s="455">
        <f>IF(ISNUMBER(
   IF(D_I="SI",(Datos!K15-Datos!U15)/Datos!U15,(Datos!K15+Datos!AE15-(Datos!U15+Datos!AM15))/(Datos!U15+Datos!AM15))
     ),IF(D_I="SI",(Datos!K15-Datos!U15)/Datos!U15,(Datos!K15+Datos!AE15-(Datos!U15+Datos!AM15))/(Datos!U15+Datos!AM15))," - ")</f>
        <v>-0.1639496972519795</v>
      </c>
      <c r="E15" s="455">
        <f>IF(ISNUMBER(
   IF(D_I="SI",(Datos!L15-Datos!V15)/Datos!V15,(Datos!L15+Datos!AF15-(Datos!V15+Datos!AN15))/(Datos!V15+Datos!AN15))
     ),IF(D_I="SI",(Datos!L15-Datos!V15)/Datos!V15,(Datos!L15+Datos!AF15-(Datos!V15+Datos!AN15))/(Datos!V15+Datos!AN15))," - ")</f>
        <v>6.9412909503730136E-2</v>
      </c>
      <c r="F15" s="455">
        <f>IF(ISNUMBER((Datos!M15-Datos!W15)/Datos!W15),(Datos!M15-Datos!W15)/Datos!W15," - ")</f>
        <v>-7.407407407407407E-2</v>
      </c>
      <c r="G15" s="456">
        <f>IF(ISNUMBER((Datos!N15-Datos!X15)/Datos!X15),(Datos!N15-Datos!X15)/Datos!X15," - ")</f>
        <v>-0.16050420168067228</v>
      </c>
      <c r="H15" s="454">
        <f>IF(ISNUMBER(((NºAsuntos!G15/NºAsuntos!E15)-Datos!BD15)/Datos!BD15),((NºAsuntos!G15/NºAsuntos!E15)-Datos!BD15)/Datos!BD15," - ")</f>
        <v>5.6702643920201893E-3</v>
      </c>
      <c r="I15" s="455">
        <f>IF(ISNUMBER(((NºAsuntos!I15/NºAsuntos!G15)-Datos!BE15)/Datos!BE15),((NºAsuntos!I15/NºAsuntos!G15)-Datos!BE15)/Datos!BE15," - ")</f>
        <v>0.27912507894401595</v>
      </c>
      <c r="J15" s="460">
        <f>IF(ISNUMBER((('Resol  Asuntos'!D15/NºAsuntos!G15)-Datos!BF15)/Datos!BF15),(('Resol  Asuntos'!D15/NºAsuntos!G15)-Datos!BF15)/Datos!BF15," - ")</f>
        <v>0.10750025791808521</v>
      </c>
      <c r="K15" s="461">
        <f>IF(ISNUMBER((((NºAsuntos!C15+NºAsuntos!E15)/NºAsuntos!G15)-Datos!BG15)/Datos!BG15),(((NºAsuntos!C15+NºAsuntos!E15)/NºAsuntos!G15)-Datos!BG15)/Datos!BG15," - ")</f>
        <v>0.16460027121571277</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0.46525679758308158</v>
      </c>
      <c r="C18" s="455">
        <f>IF(ISNUMBER(
   IF(D_I="SI",(Datos!J18-Datos!T18)/Datos!T18,(Datos!J18+Datos!AD18-(Datos!T18+Datos!AL18))/(Datos!T18+Datos!AL18))
     ),IF(D_I="SI",(Datos!J18-Datos!T18)/Datos!T18,(Datos!J18+Datos!AD18-(Datos!T18+Datos!AL18))/(Datos!T18+Datos!AL18))," - ")</f>
        <v>0.64084507042253525</v>
      </c>
      <c r="D18" s="455">
        <f>IF(ISNUMBER(
   IF(D_I="SI",(Datos!K18-Datos!U18)/Datos!U18,(Datos!K18+Datos!AE18-(Datos!U18+Datos!AM18))/(Datos!U18+Datos!AM18))
     ),IF(D_I="SI",(Datos!K18-Datos!U18)/Datos!U18,(Datos!K18+Datos!AE18-(Datos!U18+Datos!AM18))/(Datos!U18+Datos!AM18))," - ")</f>
        <v>0.81196581196581197</v>
      </c>
      <c r="E18" s="455">
        <f>IF(ISNUMBER(
   IF(D_I="SI",(Datos!L18-Datos!V18)/Datos!V18,(Datos!L18+Datos!AF18-(Datos!V18+Datos!AN18))/(Datos!V18+Datos!AN18))
     ),IF(D_I="SI",(Datos!L18-Datos!V18)/Datos!V18,(Datos!L18+Datos!AF18-(Datos!V18+Datos!AN18))/(Datos!V18+Datos!AN18))," - ")</f>
        <v>0.4157303370786517</v>
      </c>
      <c r="F18" s="455">
        <f>IF(ISNUMBER((Datos!M18-Datos!W18)/Datos!W18),(Datos!M18-Datos!W18)/Datos!W18," - ")</f>
        <v>3.2727272727272729</v>
      </c>
      <c r="G18" s="456">
        <f>IF(ISNUMBER((Datos!N18-Datos!X18)/Datos!X18),(Datos!N18-Datos!X18)/Datos!X18," - ")</f>
        <v>0.51470588235294112</v>
      </c>
      <c r="H18" s="454">
        <f>IF(ISNUMBER(((NºAsuntos!G18/NºAsuntos!E18)-Datos!BD18)/Datos!BD18),((NºAsuntos!G18/NºAsuntos!E18)-Datos!BD18)/Datos!BD18," - ")</f>
        <v>0.10428817724955057</v>
      </c>
      <c r="I18" s="455">
        <f>IF(ISNUMBER(((NºAsuntos!I18/NºAsuntos!G18)-Datos!BE18)/Datos!BE18),((NºAsuntos!I18/NºAsuntos!G18)-Datos!BE18)/Datos!BE18," - ")</f>
        <v>-0.21867712529149883</v>
      </c>
      <c r="J18" s="460">
        <f>IF(ISNUMBER((('Resol  Asuntos'!D18/NºAsuntos!G18)-Datos!BF18)/Datos!BF18),(('Resol  Asuntos'!D18/NºAsuntos!G18)-Datos!BF18)/Datos!BF18," - ")</f>
        <v>1.3580617495711835</v>
      </c>
      <c r="K18" s="461">
        <f>IF(ISNUMBER((((NºAsuntos!C18+NºAsuntos!E18)/NºAsuntos!G18)-Datos!BG18)/Datos!BG18),(((NºAsuntos!C18+NºAsuntos!E18)/NºAsuntos!G18)-Datos!BG18)/Datos!BG18," - ")</f>
        <v>-0.16225218397223659</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0.10928961748633879</v>
      </c>
      <c r="C19" s="852">
        <f>IF(ISNUMBER(
   IF(Criterios!B14="SI",(Datos!J19-Datos!T19)/Datos!T19,(Datos!J19+Datos!AD19-(Datos!T19+Datos!AL19))/(Datos!T19+Datos!AL19))
     ),IF(Criterios!B14="SI",(Datos!J19-Datos!T19)/Datos!T19,(Datos!J19+Datos!AD19-(Datos!T19+Datos!AL19))/(Datos!T19+Datos!AL19))," - ")</f>
        <v>-0.1189446366782007</v>
      </c>
      <c r="D19" s="852">
        <f>IF(ISNUMBER(
   IF(Criterios!B14="SI",(Datos!K19-Datos!U19)/Datos!U19,(Datos!K19+Datos!AE19-(Datos!U19+Datos!AM19))/(Datos!U19+Datos!AM19))
     ),IF(Criterios!B14="SI",(Datos!K19-Datos!U19)/Datos!U19,(Datos!K19+Datos!AE19-(Datos!U19+Datos!AM19))/(Datos!U19+Datos!AM19))," - ")</f>
        <v>-0.11351590106007067</v>
      </c>
      <c r="E19" s="852">
        <f>IF(ISNUMBER(
   IF(Criterios!B14="SI",(Datos!L19-Datos!V19)/Datos!V19,(Datos!L19+Datos!AF19-(Datos!V19+Datos!AN19))/(Datos!V19+Datos!AN19))
     ),IF(Criterios!B14="SI",(Datos!L19-Datos!V19)/Datos!V19,(Datos!L19+Datos!AF19-(Datos!V19+Datos!AN19))/(Datos!V19+Datos!AN19))," - ")</f>
        <v>0.10526315789473684</v>
      </c>
      <c r="F19" s="853">
        <f>IF(ISNUMBER((Datos!M19-Datos!W19)/Datos!W19),(Datos!M19-Datos!W19)/Datos!W19," - ")</f>
        <v>5.6939501779359428E-2</v>
      </c>
      <c r="G19" s="854">
        <f>IF(ISNUMBER((Datos!N19-Datos!X19)/Datos!X19),(Datos!N19-Datos!X19)/Datos!X19," - ")</f>
        <v>-0.12400635930047695</v>
      </c>
      <c r="H19" s="854">
        <f>IF(ISNUMBER(((NºAsuntos!G19/NºAsuntos!E19)-Datos!BD19)/Datos!BD19),((NºAsuntos!G19/NºAsuntos!E19)-Datos!BD19)/Datos!BD19," - ")</f>
        <v>6.1616282518982251E-3</v>
      </c>
      <c r="I19" s="854">
        <f>IF(ISNUMBER(((NºAsuntos!I19/NºAsuntos!G19)-Datos!BE19)/Datos!BE19),((NºAsuntos!I19/NºAsuntos!G19)-Datos!BE19)/Datos!BE19," - ")</f>
        <v>0.24679411533317605</v>
      </c>
      <c r="J19" s="854">
        <f>IF(ISNUMBER((('Resol  Asuntos'!D19/NºAsuntos!G19)-Datos!BF19)/Datos!BF19),(('Resol  Asuntos'!D19/NºAsuntos!G19)-Datos!BF19)/Datos!BF19," - ")</f>
        <v>0.19228252716914301</v>
      </c>
      <c r="K19" s="854">
        <f>IF(ISNUMBER((((NºAsuntos!C19+NºAsuntos!E19)/NºAsuntos!G19)-Datos!BG19)/Datos!BG19),(((NºAsuntos!C19+NºAsuntos!E19)/NºAsuntos!G19)-Datos!BG19)/Datos!BG19," - ")</f>
        <v>0.14851225065354687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-6.23562710065452E-2</v>
      </c>
      <c r="C20" s="799">
        <f>IF(ISNUMBER(
   IF(J_V="SI",(Datos!J20-Datos!T20)/Datos!T20,(Datos!J20+Datos!Z20-(Datos!T20+Datos!AH20))/(Datos!T20+Datos!AH20))
     ),IF(J_V="SI",(Datos!J20-Datos!T20)/Datos!T20,(Datos!J20+Datos!Z20-(Datos!T20+Datos!AH20))/(Datos!T20+Datos!AH20))," - ")</f>
        <v>-0.18938119274630771</v>
      </c>
      <c r="D20" s="799">
        <f>IF(ISNUMBER(
   IF(J_V="SI",(Datos!K20-Datos!U20)/Datos!U20,(Datos!K20+Datos!AA20-(Datos!U20+Datos!AI20))/(Datos!U20+Datos!AI20))
     ),IF(J_V="SI",(Datos!K20-Datos!U20)/Datos!U20,(Datos!K20+Datos!AA20-(Datos!U20+Datos!AI20))/(Datos!U20+Datos!AI20))," - ")</f>
        <v>-0.10912906610703044</v>
      </c>
      <c r="E20" s="799">
        <f>IF(ISNUMBER(
   IF(J_V="SI",(Datos!L20-Datos!V20)/Datos!V20,(Datos!L20+Datos!AB20-(Datos!V20+Datos!AJ20))/(Datos!V20+Datos!AJ20))
     ),IF(J_V="SI",(Datos!L20-Datos!V20)/Datos!V20,(Datos!L20+Datos!AB20-(Datos!V20+Datos!AJ20))/(Datos!V20+Datos!AJ20))," - ")</f>
        <v>-6.7692040319777547E-2</v>
      </c>
      <c r="F20" s="800">
        <f>IF(ISNUMBER((Datos!M20-Datos!W20)/Datos!W20),(Datos!M20-Datos!W20)/Datos!W20," - ")</f>
        <v>-7.1285140562248994E-2</v>
      </c>
      <c r="G20" s="801">
        <f>IF(ISNUMBER((Datos!N20-Datos!X20)/Datos!X20),(Datos!N20-Datos!X20)/Datos!X20," - ")</f>
        <v>-0.16280958181079982</v>
      </c>
      <c r="H20" s="802">
        <f>IF(ISNUMBER((Tasas!B20-Datos!BD20)/Datos!BD20),(Tasas!B20-Datos!BD20)/Datos!BD20," - ")</f>
        <v>9.9001066742042051E-2</v>
      </c>
      <c r="I20" s="803">
        <f>IF(ISNUMBER((Tasas!C20-Datos!BE20)/Datos!BE20),(Tasas!C20-Datos!BE20)/Datos!BE20," - ")</f>
        <v>4.6512939429036386E-2</v>
      </c>
      <c r="J20" s="804">
        <f>IF(ISNUMBER((Tasas!D20-Datos!BF20)/Datos!BF20),(Tasas!D20-Datos!BF20)/Datos!BF20," - ")</f>
        <v>-0.30547841056367708</v>
      </c>
      <c r="K20" s="804">
        <f>IF(ISNUMBER((Tasas!E20-Datos!BG20)/Datos!BG20),(Tasas!E20-Datos!BG20)/Datos!BG20," - ")</f>
        <v>6.7090072591449819E-3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fX/1CpPbaGFOJmSHvaKvFbWgI0hHnIJU57Z88E+cN8Mc4HQsKhlX/d82q7UVcrKQgnsPCnL5wWZD/D/3tPQABQ==" saltValue="LuRWZVrBa/cjrC5XgDaZA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SANTIAGO DE COMPOSTELA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0.98816901408450708</v>
      </c>
      <c r="C9" s="442">
        <f>IF(ISNUMBER(NºAsuntos!I9/NºAsuntos!G9),NºAsuntos!I9/NºAsuntos!G9," - ")</f>
        <v>3.5347776510832385</v>
      </c>
      <c r="D9" s="443">
        <f>IF(ISNUMBER('Resol  Asuntos'!D9/NºAsuntos!G9),'Resol  Asuntos'!D9/NºAsuntos!G9," - ")</f>
        <v>0.33751425313568983</v>
      </c>
      <c r="E9" s="444">
        <f>IF(ISNUMBER((NºAsuntos!C9+NºAsuntos!E9)/NºAsuntos!G9),(NºAsuntos!C9+NºAsuntos!E9)/NºAsuntos!G9," - ")</f>
        <v>4.4657924743443553</v>
      </c>
      <c r="G9" s="462"/>
    </row>
    <row r="10" spans="1:7" ht="21">
      <c r="A10" s="401" t="str">
        <f>Datos!A10</f>
        <v>Sección De Violencia sobre la Mujer del TI</v>
      </c>
      <c r="B10" s="441">
        <f>IF(ISNUMBER(NºAsuntos!G10/NºAsuntos!E10),NºAsuntos!G10/NºAsuntos!E10," - ")</f>
        <v>0.8666666666666667</v>
      </c>
      <c r="C10" s="442">
        <f>IF(ISNUMBER(NºAsuntos!I10/NºAsuntos!G10),NºAsuntos!I10/NºAsuntos!G10," - ")</f>
        <v>6.7692307692307692</v>
      </c>
      <c r="D10" s="443">
        <f>IF(ISNUMBER('Resol  Asuntos'!D10/NºAsuntos!G10),'Resol  Asuntos'!D10/NºAsuntos!G10," - ")</f>
        <v>0.46153846153846156</v>
      </c>
      <c r="E10" s="444">
        <f>IF(ISNUMBER((NºAsuntos!C10+NºAsuntos!E10)/NºAsuntos!G10),(NºAsuntos!C10+NºAsuntos!E10)/NºAsuntos!G10," - ")</f>
        <v>7.7692307692307692</v>
      </c>
      <c r="G10" s="462"/>
    </row>
    <row r="11" spans="1:7" ht="21">
      <c r="A11" s="401" t="str">
        <f>Datos!A11</f>
        <v xml:space="preserve">Sección de Familia, infancia e incapacidad del TI                           </v>
      </c>
      <c r="B11" s="441">
        <f>IF(ISNUMBER(NºAsuntos!G11/NºAsuntos!E11),NºAsuntos!G11/NºAsuntos!E11," - ")</f>
        <v>0.92534381139489197</v>
      </c>
      <c r="C11" s="442">
        <f>IF(ISNUMBER(NºAsuntos!I11/NºAsuntos!G11),NºAsuntos!I11/NºAsuntos!G11," - ")</f>
        <v>1.3588110403397027</v>
      </c>
      <c r="D11" s="443">
        <f>IF(ISNUMBER('Resol  Asuntos'!D11/NºAsuntos!G11),'Resol  Asuntos'!D11/NºAsuntos!G11," - ")</f>
        <v>6.3694267515923567E-2</v>
      </c>
      <c r="E11" s="444">
        <f>IF(ISNUMBER((NºAsuntos!C11+NºAsuntos!E11)/NºAsuntos!G11),(NºAsuntos!C11+NºAsuntos!E11)/NºAsuntos!G11," - ")</f>
        <v>2.3545647558386413</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0.97346672466289697</v>
      </c>
      <c r="C13" s="856">
        <f>IF(ISNUMBER(NºAsuntos!I13/NºAsuntos!G13),NºAsuntos!I13/NºAsuntos!G13," - ")</f>
        <v>3.0956210902591601</v>
      </c>
      <c r="D13" s="857">
        <f>IF(ISNUMBER('Resol  Asuntos'!D13/NºAsuntos!G13),'Resol  Asuntos'!D13/NºAsuntos!G13," - ")</f>
        <v>0.28060768543342268</v>
      </c>
      <c r="E13" s="858">
        <f>IF(ISNUMBER((NºAsuntos!C13+NºAsuntos!E13)/NºAsuntos!G13),(NºAsuntos!C13+NºAsuntos!E13)/NºAsuntos!G13," - ")</f>
        <v>4.0406613047363722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0.99501108647450109</v>
      </c>
      <c r="C15" s="442">
        <f>IF(ISNUMBER(NºAsuntos!I15/NºAsuntos!G15),NºAsuntos!I15/NºAsuntos!G15," - ")</f>
        <v>1.8367688022284123</v>
      </c>
      <c r="D15" s="443">
        <f>IF(ISNUMBER('Resol  Asuntos'!D15/NºAsuntos!G15),'Resol  Asuntos'!D15/NºAsuntos!G15," - ")</f>
        <v>0.1392757660167131</v>
      </c>
      <c r="E15" s="444">
        <f>IF(ISNUMBER((NºAsuntos!C15+NºAsuntos!E15)/NºAsuntos!G15),(NºAsuntos!C15+NºAsuntos!E15)/NºAsuntos!G15," - ")</f>
        <v>2.8835654596100277</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0.90987124463519309</v>
      </c>
      <c r="C18" s="442">
        <f>IF(ISNUMBER(NºAsuntos!I18/NºAsuntos!G18),NºAsuntos!I18/NºAsuntos!G18," - ")</f>
        <v>2.3773584905660377</v>
      </c>
      <c r="D18" s="443">
        <f>IF(ISNUMBER('Resol  Asuntos'!D18/NºAsuntos!G18),'Resol  Asuntos'!D18/NºAsuntos!G18," - ")</f>
        <v>0.22169811320754718</v>
      </c>
      <c r="E18" s="444">
        <f>IF(ISNUMBER((NºAsuntos!C18+NºAsuntos!E18)/NºAsuntos!G18),(NºAsuntos!C18+NºAsuntos!E18)/NºAsuntos!G18," - ")</f>
        <v>3.3867924528301887</v>
      </c>
      <c r="G18" s="462"/>
    </row>
    <row r="19" spans="1:7" ht="14.25" thickTop="1" thickBot="1">
      <c r="A19" s="845" t="str">
        <f>Datos!A19</f>
        <v>TOTAL</v>
      </c>
      <c r="B19" s="855">
        <f>IF(ISNUMBER(NºAsuntos!G19/NºAsuntos!E19),NºAsuntos!G19/NºAsuntos!E19," - ")</f>
        <v>0.98527245949926368</v>
      </c>
      <c r="C19" s="856">
        <f>IF(ISNUMBER(NºAsuntos!I19/NºAsuntos!G19),NºAsuntos!I19/NºAsuntos!G19," - ")</f>
        <v>1.8938714499252616</v>
      </c>
      <c r="D19" s="859">
        <f>IF(ISNUMBER('Resol  Asuntos'!D19/NºAsuntos!G19),'Resol  Asuntos'!D19/NºAsuntos!G19," - ")</f>
        <v>0.14798206278026907</v>
      </c>
      <c r="E19" s="858">
        <f>IF(ISNUMBER((NºAsuntos!C19+NºAsuntos!E19)/NºAsuntos!G19),(NºAsuntos!C19+NºAsuntos!E19)/NºAsuntos!G19," - ")</f>
        <v>2.9367214748380666</v>
      </c>
      <c r="G19" s="462"/>
    </row>
    <row r="20" spans="1:7" ht="15.75" customHeight="1" thickTop="1" thickBot="1">
      <c r="A20" s="790" t="str">
        <f>Datos!A20</f>
        <v>TOTAL JURISDICCIONES</v>
      </c>
      <c r="B20" s="805">
        <f>IF(ISNUMBER(NºAsuntos!G20/NºAsuntos!E20),NºAsuntos!G20/NºAsuntos!E20," - ")</f>
        <v>0.97901291512915134</v>
      </c>
      <c r="C20" s="806">
        <f>IF(ISNUMBER(NºAsuntos!I20/NºAsuntos!G20),NºAsuntos!I20/NºAsuntos!G20," - ")</f>
        <v>2.5274440518256771</v>
      </c>
      <c r="D20" s="807">
        <f>IF(ISNUMBER('Resol  Asuntos'!D20/NºAsuntos!G20),'Resol  Asuntos'!D20/NºAsuntos!G20," - ")</f>
        <v>0.21790341578327443</v>
      </c>
      <c r="E20" s="808">
        <f>IF(ISNUMBER((NºAsuntos!C20+NºAsuntos!E20)/NºAsuntos!G20),(NºAsuntos!C20+NºAsuntos!E20)/NºAsuntos!G20," - ")</f>
        <v>3.5187279151943462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jUqvmRCvxMp8G+/9JDaXi2QbZgGdP3tWDUUSF9tu/6wR+gZwyEi7poLUidfyy0hHjQm2onk779bil4CWk0by7A==" saltValue="iTa/qBaRvCLcx4GXFnF9V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SANTIAGO DE COMPOSTELA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247</v>
      </c>
      <c r="C9" s="159" t="str">
        <f>Datos!A9</f>
        <v>Sección Civil del T.I</v>
      </c>
      <c r="D9" s="159"/>
      <c r="E9" s="1020">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463</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167</v>
      </c>
      <c r="Y9" s="333">
        <f>SUM(W9:X9)</f>
        <v>167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7109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592</v>
      </c>
      <c r="AJ9" s="228" t="str">
        <f>IF(ISNUMBER(Datos!BW9),Datos!BW9," - ")</f>
        <v xml:space="preserve"> - </v>
      </c>
      <c r="AK9" s="227" t="str">
        <f>IF(ISNUMBER(Datos!BX9),Datos!BX9," - ")</f>
        <v xml:space="preserve"> - </v>
      </c>
      <c r="AL9" s="242">
        <f>IF(ISNUMBER(NºAsuntos!G9/NºAsuntos!E9),NºAsuntos!G9/NºAsuntos!E9," - ")</f>
        <v>0.98816901408450708</v>
      </c>
      <c r="AM9" s="259">
        <f>IF(ISNUMBER(((NºAsuntos!I9/NºAsuntos!G9)*11)/factor_trimestre),((NºAsuntos!I9/NºAsuntos!G9)*11)/factor_trimestre," - ")</f>
        <v>10.604332953249715</v>
      </c>
      <c r="AN9" s="243">
        <f>IF(ISNUMBER('Resol  Asuntos'!D9/NºAsuntos!G9),'Resol  Asuntos'!D9/NºAsuntos!G9," - ")</f>
        <v>0.33751425313568983</v>
      </c>
      <c r="AO9" s="244">
        <f>IF(ISNUMBER((NºAsuntos!C9+NºAsuntos!E9)/NºAsuntos!G9),(NºAsuntos!C9+NºAsuntos!E9)/NºAsuntos!G9," - ")</f>
        <v>4.4657924743443553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1</v>
      </c>
      <c r="F10" s="224">
        <f>IF(ISNUMBER(Datos!L10+Datos!K10-Datos!J10-K10),Datos!L10+Datos!K10-Datos!J10-K10," - ")</f>
        <v>86</v>
      </c>
      <c r="G10" s="332">
        <f>IF(ISNUMBER(Datos!I10),Datos!I10," - ")</f>
        <v>86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13</v>
      </c>
      <c r="X10" s="225">
        <f>IF(ISNUMBER(Datos!Q10),Datos!Q10," - ")</f>
        <v>10</v>
      </c>
      <c r="Y10" s="333">
        <f t="shared" ref="Y10:Y12" si="0">SUM(W10:X10)</f>
        <v>23</v>
      </c>
      <c r="Z10" s="334" t="str">
        <f>IF(ISNUMBER(Datos!CC10),Datos!CC10," - ")</f>
        <v xml:space="preserve"> - </v>
      </c>
      <c r="AA10" s="331">
        <f>IF(ISNUMBER(Datos!L10),Datos!L10,"-")</f>
        <v>88</v>
      </c>
      <c r="AB10" s="333">
        <f>IF(ISNUMBER(Datos!R10),Datos!R10," - ")</f>
        <v>51</v>
      </c>
      <c r="AC10" s="333">
        <f t="shared" ref="AC10:AC12" si="1">IF(ISNUMBER(AA10+AB10),AA10+AB10," - ")</f>
        <v>139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0.8666666666666667</v>
      </c>
      <c r="AM10" s="259">
        <f>IF(ISNUMBER(((NºAsuntos!I10/NºAsuntos!G10)*11)/factor_trimestre),((NºAsuntos!I10/NºAsuntos!G10)*11)/factor_trimestre," - ")</f>
        <v>20.30769230769231</v>
      </c>
      <c r="AN10" s="243">
        <f>IF(ISNUMBER('Resol  Asuntos'!D10/NºAsuntos!G10),'Resol  Asuntos'!D10/NºAsuntos!G10," - ")</f>
        <v>0.46153846153846156</v>
      </c>
      <c r="AO10" s="244">
        <f>IF(ISNUMBER((NºAsuntos!C10+NºAsuntos!E10)/NºAsuntos!G10),(NºAsuntos!C10+NºAsuntos!E10)/NºAsuntos!G10," - ")</f>
        <v>7.7692307692307692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247</v>
      </c>
      <c r="C11" s="7" t="str">
        <f>Datos!A11</f>
        <v xml:space="preserve">Sección de Familia, infancia e incapacidad del TI                           </v>
      </c>
      <c r="D11" s="7"/>
      <c r="E11" s="1020">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17</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53</v>
      </c>
      <c r="Y11" s="333">
        <f t="shared" si="0"/>
        <v>53</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330</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30</v>
      </c>
      <c r="AJ11" s="230" t="str">
        <f>IF(ISNUMBER(Datos!BW11),Datos!BW11," - ")</f>
        <v xml:space="preserve"> - </v>
      </c>
      <c r="AK11" s="231" t="str">
        <f>IF(ISNUMBER(Datos!BX11),Datos!BX11," - ")</f>
        <v xml:space="preserve"> - </v>
      </c>
      <c r="AL11" s="242">
        <f>IF(ISNUMBER(NºAsuntos!G11/NºAsuntos!E11),NºAsuntos!G11/NºAsuntos!E11," - ")</f>
        <v>0.92534381139489197</v>
      </c>
      <c r="AM11" s="259">
        <f>IF(ISNUMBER(((NºAsuntos!I11/NºAsuntos!G11)*11)/factor_trimestre),((NºAsuntos!I11/NºAsuntos!G11)*11)/factor_trimestre," - ")</f>
        <v>4.0764331210191083</v>
      </c>
      <c r="AN11" s="243">
        <f>IF(ISNUMBER('Resol  Asuntos'!D11/NºAsuntos!G11),'Resol  Asuntos'!D11/NºAsuntos!G11," - ")</f>
        <v>6.3694267515923567E-2</v>
      </c>
      <c r="AO11" s="244">
        <f>IF(ISNUMBER((NºAsuntos!C11+NºAsuntos!E11)/NºAsuntos!G11),(NºAsuntos!C11+NºAsuntos!E11)/NºAsuntos!G11," - ")</f>
        <v>2.3545647558386413</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7</v>
      </c>
      <c r="F13" s="862">
        <f t="shared" si="3"/>
        <v>86</v>
      </c>
      <c r="G13" s="863">
        <f t="shared" si="3"/>
        <v>86</v>
      </c>
      <c r="H13" s="862">
        <f t="shared" si="3"/>
        <v>0</v>
      </c>
      <c r="I13" s="864">
        <f t="shared" si="3"/>
        <v>0</v>
      </c>
      <c r="J13" s="864">
        <f t="shared" si="3"/>
        <v>0</v>
      </c>
      <c r="K13" s="864">
        <f t="shared" si="3"/>
        <v>0</v>
      </c>
      <c r="L13" s="864">
        <f t="shared" si="3"/>
        <v>489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13</v>
      </c>
      <c r="X13" s="864">
        <f t="shared" si="4"/>
        <v>230</v>
      </c>
      <c r="Y13" s="865">
        <f t="shared" si="4"/>
        <v>243</v>
      </c>
      <c r="Z13" s="865">
        <f t="shared" si="4"/>
        <v>0</v>
      </c>
      <c r="AA13" s="865">
        <f t="shared" si="4"/>
        <v>88</v>
      </c>
      <c r="AB13" s="865">
        <f t="shared" si="4"/>
        <v>7490</v>
      </c>
      <c r="AC13" s="865">
        <f t="shared" si="4"/>
        <v>139</v>
      </c>
      <c r="AD13" s="865">
        <f t="shared" si="4"/>
        <v>0</v>
      </c>
      <c r="AE13" s="869">
        <f t="shared" si="4"/>
        <v>0</v>
      </c>
      <c r="AF13" s="862">
        <f t="shared" si="4"/>
        <v>0</v>
      </c>
      <c r="AG13" s="870">
        <f t="shared" si="4"/>
        <v>0</v>
      </c>
      <c r="AH13" s="867">
        <f t="shared" si="4"/>
        <v>0</v>
      </c>
      <c r="AI13" s="862">
        <f t="shared" si="4"/>
        <v>628</v>
      </c>
      <c r="AJ13" s="864">
        <f t="shared" si="4"/>
        <v>0</v>
      </c>
      <c r="AK13" s="867">
        <f>SUBTOTAL(9,AK9:AK12)</f>
        <v>0</v>
      </c>
      <c r="AL13" s="871">
        <f>IF(ISNUMBER(NºAsuntos!G13/NºAsuntos!E13),NºAsuntos!G13/NºAsuntos!E13," - ")</f>
        <v>0.97346672466289697</v>
      </c>
      <c r="AM13" s="871">
        <f>IF(ISNUMBER(((NºAsuntos!I13/NºAsuntos!G13)*11)/factor_trimestre),((NºAsuntos!I13/NºAsuntos!G13)*11)/factor_trimestre," - ")</f>
        <v>9.286863270777479</v>
      </c>
      <c r="AN13" s="872">
        <f>IF(ISNUMBER('Resol  Asuntos'!D13/NºAsuntos!G13),'Resol  Asuntos'!D13/NºAsuntos!G13," - ")</f>
        <v>0.28060768543342268</v>
      </c>
      <c r="AO13" s="873">
        <f>IF(ISNUMBER((NºAsuntos!C13+NºAsuntos!E13)/NºAsuntos!G13),(NºAsuntos!C13+NºAsuntos!E13)/NºAsuntos!G13," - ")</f>
        <v>4.0406613047363722</v>
      </c>
      <c r="AP13" s="874" t="str">
        <f t="shared" si="2"/>
        <v xml:space="preserve"> - </v>
      </c>
      <c r="AQ13" s="874">
        <f>IF(ISNUMBER((H13-W13+K13)/(F13)),(H13-W13+K13)/(F13)," - ")</f>
        <v>-0.15116279069767441</v>
      </c>
      <c r="AR13" s="875">
        <f>IF(ISNUMBER((Datos!P13-Datos!Q13)/(Datos!R13-Datos!P13+Datos!Q13)),(Datos!P13-Datos!Q13)/(Datos!R13-Datos!P13+Datos!Q13)," - ")</f>
        <v>3.5818005808325268E-2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3</v>
      </c>
      <c r="B15" s="274" t="s">
        <v>397</v>
      </c>
      <c r="C15" s="159" t="str">
        <f>Datos!A15</f>
        <v xml:space="preserve">Seccion Instruccion Del T.I.                   </v>
      </c>
      <c r="D15" s="159"/>
      <c r="E15" s="1020">
        <f>IF(ISNUMBER(Datos!AQ15),Datos!AQ15," - ")</f>
        <v>3</v>
      </c>
      <c r="F15" s="224">
        <f>IF(ISNUMBER(AA15+W15-Datos!J15-K15),AA15+W15-Datos!J15-K15," - ")</f>
        <v>3288</v>
      </c>
      <c r="G15" s="332">
        <f>IF(ISNUMBER(IF(D_I="SI",Datos!I15,Datos!I15+Datos!AC15)),IF(D_I="SI",Datos!I15,Datos!I15+Datos!AC15)," - ")</f>
        <v>3372</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66</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1795</v>
      </c>
      <c r="X15" s="225">
        <f>IF(ISNUMBER(Datos!Q15),Datos!Q15," - ")</f>
        <v>32</v>
      </c>
      <c r="Y15" s="333">
        <f>SUM(W15)</f>
        <v>1795</v>
      </c>
      <c r="Z15" s="334" t="str">
        <f>IF(ISNUMBER(Datos!CC15),Datos!CC15," - ")</f>
        <v xml:space="preserve"> - </v>
      </c>
      <c r="AA15" s="331">
        <f>IF(ISNUMBER(IF(D_I="SI",Datos!L15,Datos!L15+Datos!AF15)),IF(D_I="SI",Datos!L15,Datos!L15+Datos!AF15)," - ")</f>
        <v>3297</v>
      </c>
      <c r="AB15" s="333">
        <f>IF(ISNUMBER(Datos!R15),Datos!R15," - ")</f>
        <v>336</v>
      </c>
      <c r="AC15" s="333">
        <f t="shared" ref="AC15:AC18" si="6">IF(ISNUMBER(AA15+AB15),AA15+AB15," - ")</f>
        <v>3633</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250</v>
      </c>
      <c r="AJ15" s="230" t="str">
        <f>IF(ISNUMBER(Datos!BW15),Datos!BW15," - ")</f>
        <v xml:space="preserve"> - </v>
      </c>
      <c r="AK15" s="231" t="str">
        <f>IF(ISNUMBER(Datos!BX15),Datos!BX15," - ")</f>
        <v xml:space="preserve"> - </v>
      </c>
      <c r="AL15" s="242">
        <f>IF(ISNUMBER(NºAsuntos!G15/NºAsuntos!E15),NºAsuntos!G15/NºAsuntos!E15," - ")</f>
        <v>0.99501108647450109</v>
      </c>
      <c r="AM15" s="259">
        <f>IF(ISNUMBER(((NºAsuntos!I15/NºAsuntos!G15)*11)/factor_trimestre),((NºAsuntos!I15/NºAsuntos!G15)*11)/factor_trimestre," - ")</f>
        <v>5.5103064066852374</v>
      </c>
      <c r="AN15" s="243">
        <f>IF(ISNUMBER('Resol  Asuntos'!D15/NºAsuntos!G15),'Resol  Asuntos'!D15/NºAsuntos!G15," - ")</f>
        <v>0.1392757660167131</v>
      </c>
      <c r="AO15" s="244">
        <f>IF(ISNUMBER((NºAsuntos!C15+NºAsuntos!E15)/NºAsuntos!G15),(NºAsuntos!C15+NºAsuntos!E15)/NºAsuntos!G15," - ")</f>
        <v>2.8835654596100277</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485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212</v>
      </c>
      <c r="X18" s="225">
        <f>IF(ISNUMBER(Datos!Q18),Datos!Q18," - ")</f>
        <v>3</v>
      </c>
      <c r="Y18" s="333">
        <f t="shared" si="9"/>
        <v>215</v>
      </c>
      <c r="Z18" s="334" t="str">
        <f>IF(ISNUMBER(Datos!CC18),Datos!CC18," - ")</f>
        <v xml:space="preserve"> - </v>
      </c>
      <c r="AA18" s="331">
        <f>IF(ISNUMBER(Datos!L18),Datos!L18,"-")</f>
        <v>504</v>
      </c>
      <c r="AB18" s="333">
        <f>IF(ISNUMBER(Datos!R18),Datos!R18," - ")</f>
        <v>0</v>
      </c>
      <c r="AC18" s="333">
        <f t="shared" si="6"/>
        <v>504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47</v>
      </c>
      <c r="AJ18" s="230" t="str">
        <f>IF(ISNUMBER(Datos!BW18),Datos!BW18," - ")</f>
        <v xml:space="preserve"> - </v>
      </c>
      <c r="AK18" s="231" t="str">
        <f>IF(ISNUMBER(Datos!BX18),Datos!BX18," - ")</f>
        <v xml:space="preserve"> - </v>
      </c>
      <c r="AL18" s="242">
        <f>IF(ISNUMBER(NºAsuntos!G18/NºAsuntos!E18),NºAsuntos!G18/NºAsuntos!E18," - ")</f>
        <v>0.90987124463519309</v>
      </c>
      <c r="AM18" s="259">
        <f>IF(ISNUMBER(((NºAsuntos!I18/NºAsuntos!G18)*11)/factor_trimestre),((NºAsuntos!I18/NºAsuntos!G18)*11)/factor_trimestre," - ")</f>
        <v>7.132075471698113</v>
      </c>
      <c r="AN18" s="243">
        <f>IF(ISNUMBER('Resol  Asuntos'!D18/NºAsuntos!G18),'Resol  Asuntos'!D18/NºAsuntos!G18," - ")</f>
        <v>0.22169811320754718</v>
      </c>
      <c r="AO18" s="244">
        <f>IF(ISNUMBER((NºAsuntos!C18+NºAsuntos!E18)/NºAsuntos!G18),(NºAsuntos!C18+NºAsuntos!E18)/NºAsuntos!G18," - ")</f>
        <v>3.3867924528301887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3288</v>
      </c>
      <c r="G19" s="863">
        <f>SUBTOTAL(9,G15:G18)</f>
        <v>3857</v>
      </c>
      <c r="H19" s="862">
        <f t="shared" ref="H19:O19" si="12">SUBTOTAL(9,H14:H18)</f>
        <v>0</v>
      </c>
      <c r="I19" s="864">
        <f t="shared" si="12"/>
        <v>0</v>
      </c>
      <c r="J19" s="864">
        <f t="shared" si="12"/>
        <v>0</v>
      </c>
      <c r="K19" s="864">
        <f t="shared" si="12"/>
        <v>0</v>
      </c>
      <c r="L19" s="864">
        <f t="shared" si="12"/>
        <v>67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2007</v>
      </c>
      <c r="X19" s="864">
        <f t="shared" si="13"/>
        <v>35</v>
      </c>
      <c r="Y19" s="865">
        <f t="shared" si="13"/>
        <v>2010</v>
      </c>
      <c r="Z19" s="865">
        <f t="shared" si="13"/>
        <v>0</v>
      </c>
      <c r="AA19" s="865">
        <f t="shared" si="13"/>
        <v>3801</v>
      </c>
      <c r="AB19" s="865">
        <f t="shared" si="13"/>
        <v>336</v>
      </c>
      <c r="AC19" s="865">
        <f t="shared" si="13"/>
        <v>4137</v>
      </c>
      <c r="AD19" s="865">
        <f t="shared" si="13"/>
        <v>0</v>
      </c>
      <c r="AE19" s="869">
        <f t="shared" si="13"/>
        <v>0</v>
      </c>
      <c r="AF19" s="862">
        <f t="shared" si="13"/>
        <v>0</v>
      </c>
      <c r="AG19" s="870">
        <f t="shared" si="13"/>
        <v>0</v>
      </c>
      <c r="AH19" s="867">
        <f t="shared" si="13"/>
        <v>0</v>
      </c>
      <c r="AI19" s="862">
        <f t="shared" si="13"/>
        <v>297</v>
      </c>
      <c r="AJ19" s="864">
        <f t="shared" si="13"/>
        <v>0</v>
      </c>
      <c r="AK19" s="867">
        <f t="shared" si="13"/>
        <v>0</v>
      </c>
      <c r="AL19" s="871">
        <f>IF(ISNUMBER(NºAsuntos!G19/NºAsuntos!E19),NºAsuntos!G19/NºAsuntos!E19," - ")</f>
        <v>0.98527245949926368</v>
      </c>
      <c r="AM19" s="871">
        <f>IF(ISNUMBER(((NºAsuntos!I19/NºAsuntos!G19)*11)/factor_trimestre),((NºAsuntos!I19/NºAsuntos!G19)*11)/factor_trimestre," - ")</f>
        <v>5.6816143497757849</v>
      </c>
      <c r="AN19" s="872">
        <f>IF(ISNUMBER('Resol  Asuntos'!D19/NºAsuntos!G19),'Resol  Asuntos'!D19/NºAsuntos!G19," - ")</f>
        <v>0.14798206278026907</v>
      </c>
      <c r="AO19" s="873">
        <f>IF(ISNUMBER((NºAsuntos!C19+NºAsuntos!E19)/NºAsuntos!G19),(NºAsuntos!C19+NºAsuntos!E19)/NºAsuntos!G19," - ")</f>
        <v>2.9367214748380666</v>
      </c>
      <c r="AP19" s="874" t="str">
        <f t="shared" si="2"/>
        <v xml:space="preserve"> - </v>
      </c>
      <c r="AQ19" s="874">
        <f>IF(ISNUMBER((H19-W19+K19)/(F19)),(H19-W19+K19)/(F19)," - ")</f>
        <v>-0.61040145985401462</v>
      </c>
      <c r="AR19" s="875">
        <f>IF(ISNUMBER((Datos!P19-Datos!Q19)/(Datos!R19-Datos!P19+Datos!Q19)),(Datos!P19-Datos!Q19)/(Datos!R19-Datos!P19+Datos!Q19)," - ")</f>
        <v>0.10526315789473684</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11</v>
      </c>
      <c r="F20" s="817">
        <f t="shared" si="15"/>
        <v>3374</v>
      </c>
      <c r="G20" s="818">
        <f t="shared" si="15"/>
        <v>3943</v>
      </c>
      <c r="H20" s="817">
        <f t="shared" si="15"/>
        <v>0</v>
      </c>
      <c r="I20" s="819">
        <f t="shared" si="15"/>
        <v>0</v>
      </c>
      <c r="J20" s="819">
        <f t="shared" si="15"/>
        <v>0</v>
      </c>
      <c r="K20" s="878">
        <f t="shared" si="15"/>
        <v>0</v>
      </c>
      <c r="L20" s="819">
        <f t="shared" si="15"/>
        <v>556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2020</v>
      </c>
      <c r="X20" s="818">
        <f t="shared" si="16"/>
        <v>265</v>
      </c>
      <c r="Y20" s="825">
        <f t="shared" si="16"/>
        <v>2253</v>
      </c>
      <c r="Z20" s="825">
        <f t="shared" si="16"/>
        <v>0</v>
      </c>
      <c r="AA20" s="825">
        <f t="shared" si="16"/>
        <v>3889</v>
      </c>
      <c r="AB20" s="825">
        <f t="shared" si="16"/>
        <v>7826</v>
      </c>
      <c r="AC20" s="825">
        <f t="shared" si="16"/>
        <v>4276</v>
      </c>
      <c r="AD20" s="825">
        <f t="shared" si="16"/>
        <v>0</v>
      </c>
      <c r="AE20" s="827">
        <f t="shared" si="16"/>
        <v>0</v>
      </c>
      <c r="AF20" s="828">
        <f t="shared" si="16"/>
        <v>0</v>
      </c>
      <c r="AG20" s="829">
        <f t="shared" si="16"/>
        <v>0</v>
      </c>
      <c r="AH20" s="827">
        <f t="shared" si="16"/>
        <v>0</v>
      </c>
      <c r="AI20" s="817">
        <f t="shared" si="16"/>
        <v>925</v>
      </c>
      <c r="AJ20" s="817">
        <f t="shared" si="16"/>
        <v>0</v>
      </c>
      <c r="AK20" s="827">
        <f t="shared" si="16"/>
        <v>0</v>
      </c>
      <c r="AL20" s="881">
        <f>IF(ISNUMBER(NºAsuntos!G20/NºAsuntos!E20),NºAsuntos!G20/NºAsuntos!E20," - ")</f>
        <v>0.97901291512915134</v>
      </c>
      <c r="AM20" s="882">
        <f>IF(ISNUMBER(((NºAsuntos!I20/NºAsuntos!G20)*11)/factor_trimestre),((NºAsuntos!I20/NºAsuntos!G20)*11)/factor_trimestre," - ")</f>
        <v>7.5823321554770322</v>
      </c>
      <c r="AN20" s="882">
        <f>IF(ISNUMBER('Resol  Asuntos'!D20/NºAsuntos!G20),'Resol  Asuntos'!D20/NºAsuntos!G20," - ")</f>
        <v>0.21790341578327443</v>
      </c>
      <c r="AO20" s="883">
        <f>IF(ISNUMBER((NºAsuntos!C20+NºAsuntos!E20)/NºAsuntos!G20),(NºAsuntos!C20+NºAsuntos!E20)/NºAsuntos!G20," - ")</f>
        <v>3.5187279151943462</v>
      </c>
      <c r="AP20" s="884" t="str">
        <f t="shared" si="2"/>
        <v xml:space="preserve"> - </v>
      </c>
      <c r="AQ20" s="885">
        <f>IF(OR(ISNUMBER(FIND("01",Criterios!A8,1)),ISNUMBER(FIND("02",Criterios!A8,1)),ISNUMBER(FIND("03",Criterios!A8,1)),ISNUMBER(FIND("04",Criterios!A8,1))),(I20-W20+K20)/(F20-K20),(H20-W20+K20)/(F20-K20))</f>
        <v>-0.59869590989922938</v>
      </c>
      <c r="AR20" s="886">
        <f>IF(ISNUMBER((Datos!P20-Datos!Q20)/(Datos!R20-Datos!P20+Datos!Q20)),(Datos!P20-Datos!Q20)/(Datos!R20-Datos!P20+Datos!Q20)," - ")</f>
        <v>3.8619774386197743E-2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1577.2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2.4404006956964168</v>
      </c>
      <c r="F22" s="251">
        <f>IF(ISNUMBER(STDEV(F8:F19)),STDEV(F8:F19),"-")</f>
        <v>1848.6755619451817</v>
      </c>
      <c r="G22" s="252">
        <f>IF(ISNUMBER(STDEV(G8:G19)),STDEV(G8:G19),"-")</f>
        <v>1874.7700392314787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1003.8720037933123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261.33421404127597</v>
      </c>
      <c r="AJ22" s="251">
        <f t="shared" si="20"/>
        <v>0</v>
      </c>
      <c r="AK22" s="253">
        <f t="shared" si="20"/>
        <v>0</v>
      </c>
      <c r="AL22" s="248">
        <f t="shared" si="20"/>
        <v>4.904913276719889E-2</v>
      </c>
      <c r="AM22" s="249">
        <f t="shared" si="20"/>
        <v>5.4987489861288443</v>
      </c>
      <c r="AN22" s="249">
        <f t="shared" si="20"/>
        <v>0.13549853453371641</v>
      </c>
      <c r="AO22" s="250">
        <f t="shared" si="20"/>
        <v>1.8203664570182072</v>
      </c>
      <c r="AP22" s="290" t="str">
        <f t="shared" si="20"/>
        <v>-</v>
      </c>
      <c r="AQ22" s="291">
        <f t="shared" si="20"/>
        <v>0.32473077714353354</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xVqqQKdA4AjrykAJPsSL0ZJv1HfWGa/At3UzZMtFmyWKwPkvMGHqVZOSk1K/nJDeELzCK8EyQIbNVkkhfgtfww==" saltValue="jH+cgPPve7WD1DeV/KuP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SANTIAGO DE COMPOSTELA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-1.3333333333333334E-2</v>
      </c>
      <c r="I9" s="349">
        <f>IF(ISNUMBER((Tasas!C9-Datos!BE9)/Datos!BE9),(Tasas!C9-Datos!BE9)/Datos!BE9," - ")</f>
        <v>-4.0916967834618498E-2</v>
      </c>
      <c r="J9" s="348">
        <f>IF(ISNUMBER((Tasas!D9-Datos!BF9)/Datos!BF9),(Tasas!D9-Datos!BF9)/Datos!BF9," - ")</f>
        <v>-0.16769591749209217</v>
      </c>
      <c r="K9" s="350">
        <f>IF(ISNUMBER((Tasas!E9-Datos!BG9)/Datos!BG9),(Tasas!E9-Datos!BG9)/Datos!BG9," - ")</f>
        <v>-7.6755559275128449E-2</v>
      </c>
      <c r="M9" t="e">
        <f>IF(Monitorios="SI",Datos!CE9,0)</f>
        <v>#REF!</v>
      </c>
      <c r="N9" t="e">
        <f>IF(Monitorios="SI",Datos!CF9,0)</f>
        <v>#REF!</v>
      </c>
      <c r="O9" t="e">
        <f>IF(Monitorios="SI",Datos!CG9,0)</f>
        <v>#REF!</v>
      </c>
      <c r="P9" t="e">
        <f>IF(Monitorios="SI",Datos!CH9,0)</f>
        <v>#REF!</v>
      </c>
      <c r="Q9">
        <f>IF(J_V="SI",0,Datos!AG9)</f>
        <v>110</v>
      </c>
      <c r="R9">
        <f>IF(J_V="SI",0,Datos!AH9)</f>
        <v>67</v>
      </c>
      <c r="S9">
        <f>IF(J_V="SI",0,Datos!AI9)</f>
        <v>77</v>
      </c>
      <c r="T9">
        <f>IF(J_V="SI",0,Datos!AJ9)</f>
        <v>100</v>
      </c>
    </row>
    <row r="10" spans="2:20" ht="14.25">
      <c r="B10" s="274" t="s">
        <v>247</v>
      </c>
      <c r="C10" s="7" t="str">
        <f>Datos!A10</f>
        <v>Sección De Violencia sobre la Mujer del TI</v>
      </c>
      <c r="D10" s="351">
        <f>IF(ISNUMBER((Datos!I10-Datos!S10)/Datos!S10),(Datos!I10-Datos!S10)/Datos!S10," - ")</f>
        <v>-4.4444444444444446E-2</v>
      </c>
      <c r="E10" s="347">
        <f>IF(ISNUMBER((Datos!J10-Datos!T10)/Datos!T10),(Datos!J10-Datos!T10)/Datos!T10," - ")</f>
        <v>-0.11764705882352941</v>
      </c>
      <c r="F10" s="347">
        <f>IF(ISNUMBER((Datos!K10-Datos!U10)/Datos!U10),(Datos!K10-Datos!U10)/Datos!U10," - ")</f>
        <v>-0.64864864864864868</v>
      </c>
      <c r="G10" s="348">
        <f>IF(ISNUMBER((Datos!L10-Datos!V10)/Datos!V10),(Datos!L10-Datos!V10)/Datos!V10," - ")</f>
        <v>0.25714285714285712</v>
      </c>
      <c r="H10" s="229">
        <f>IF(ISNUMBER((Datos!M10-Datos!W10)/Datos!W10),(Datos!M10-Datos!W10)/Datos!W10," - ")</f>
        <v>-0.7142857142857143</v>
      </c>
      <c r="I10" s="349">
        <f>IF(ISNUMBER((Tasas!C10-Datos!BE10)/Datos!BE10),(Tasas!C10-Datos!BE10)/Datos!BE10," - ")</f>
        <v>2.5780219780219777</v>
      </c>
      <c r="J10" s="348">
        <f>IF(ISNUMBER((Tasas!D10-Datos!BF10)/Datos!BF10),(Tasas!D10-Datos!BF10)/Datos!BF10," - ")</f>
        <v>-0.18681318681318673</v>
      </c>
      <c r="K10" s="350">
        <f>IF(ISNUMBER((Tasas!E10-Datos!BG10)/Datos!BG10),(Tasas!E10-Datos!BG10)/Datos!BG10," - ")</f>
        <v>1.6865564342199855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-0.68085106382978722</v>
      </c>
      <c r="I11" s="349">
        <f>IF(ISNUMBER((Tasas!C11-Datos!BE11)/Datos!BE11),(Tasas!C11-Datos!BE11)/Datos!BE11," - ")</f>
        <v>-0.19713341142061094</v>
      </c>
      <c r="J11" s="348">
        <f>IF(ISNUMBER((Tasas!D11-Datos!BF11)/Datos!BF11),(Tasas!D11-Datos!BF11)/Datos!BF11," - ")</f>
        <v>-0.91645896796824522</v>
      </c>
      <c r="K11" s="350">
        <f>IF(ISNUMBER((Tasas!E11-Datos!BG11)/Datos!BG11),(Tasas!E11-Datos!BG11)/Datos!BG11," - ")</f>
        <v>-0.12847398608017574</v>
      </c>
      <c r="M11" t="e">
        <f>IF(Monitorios="SI",Datos!CE11,0)</f>
        <v>#REF!</v>
      </c>
      <c r="N11" t="e">
        <f>IF(Monitorios="SI",Datos!CF11,0)</f>
        <v>#REF!</v>
      </c>
      <c r="O11" t="e">
        <f>IF(Monitorios="SI",Datos!CG11,0)</f>
        <v>#REF!</v>
      </c>
      <c r="P11" t="e">
        <f>IF(Monitorios="SI",Datos!CH11,0)</f>
        <v>#REF!</v>
      </c>
      <c r="Q11">
        <f>IF(J_V="SI",0,Datos!AG11)</f>
        <v>96</v>
      </c>
      <c r="R11">
        <f>IF(J_V="SI",0,Datos!AH11)</f>
        <v>226</v>
      </c>
      <c r="S11">
        <f>IF(J_V="SI",0,Datos!AI11)</f>
        <v>228</v>
      </c>
      <c r="T11">
        <f>IF(J_V="SI",0,Datos!AJ11)</f>
        <v>73</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-0.12167832167832168</v>
      </c>
      <c r="I13" s="356">
        <f>IF(ISNUMBER((Tasas!C13-Datos!BE13)/Datos!BE13),(Tasas!C13-Datos!BE13)/Datos!BE13," - ")</f>
        <v>-4.0507083066283429E-2</v>
      </c>
      <c r="J13" s="354">
        <f>IF(ISNUMBER((Tasas!D13-Datos!BF13)/Datos!BF13),(Tasas!D13-Datos!BF13)/Datos!BF13," - ")</f>
        <v>-0.42191118511615305</v>
      </c>
      <c r="K13" s="357">
        <f>IF(ISNUMBER((Tasas!E13-Datos!BG13)/Datos!BG13),(Tasas!E13-Datos!BG13)/Datos!BG13," - ")</f>
        <v>-6.997110959454575E-2</v>
      </c>
      <c r="M13" t="e">
        <f>IF(Monitorios="SI",Datos!CE13,0)</f>
        <v>#REF!</v>
      </c>
      <c r="N13" t="e">
        <f>IF(Monitorios="SI",Datos!CF13,0)</f>
        <v>#REF!</v>
      </c>
      <c r="O13" t="e">
        <f>IF(Monitorios="SI",Datos!CG13,0)</f>
        <v>#REF!</v>
      </c>
      <c r="P13" t="e">
        <f>IF(Monitorios="SI",Datos!CH13,0)</f>
        <v>#REF!</v>
      </c>
      <c r="Q13">
        <f>IF(J_V="SI",0,Datos!AG13)</f>
        <v>206</v>
      </c>
      <c r="R13">
        <f>IF(J_V="SI",0,Datos!AH13)</f>
        <v>293</v>
      </c>
      <c r="S13">
        <f>IF(J_V="SI",0,Datos!AI13)</f>
        <v>305</v>
      </c>
      <c r="T13">
        <f>IF(J_V="SI",0,Datos!AJ13)</f>
        <v>173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7.1837253655435473E-2</v>
      </c>
      <c r="E15" s="347">
        <f>IF(ISNUMBER(
   IF(D_I="SI",(Datos!J15-Datos!T15)/Datos!T15,(Datos!J15+Datos!AD15-(Datos!T15+Datos!AL15))/(Datos!T15+Datos!AL15))
     ),IF(D_I="SI",(Datos!J15-Datos!T15)/Datos!T15,(Datos!J15+Datos!AD15-(Datos!T15+Datos!AL15))/(Datos!T15+Datos!AL15))," - ")</f>
        <v>-0.16866359447004609</v>
      </c>
      <c r="F15" s="347">
        <f>IF(ISNUMBER(
   IF(D_I="SI",(Datos!K15-Datos!U15)/Datos!U15,(Datos!K15+Datos!AE15-(Datos!U15+Datos!AM15))/(Datos!U15+Datos!AM15))
     ),IF(D_I="SI",(Datos!K15-Datos!U15)/Datos!U15,(Datos!K15+Datos!AE15-(Datos!U15+Datos!AM15))/(Datos!U15+Datos!AM15))," - ")</f>
        <v>-0.1639496972519795</v>
      </c>
      <c r="G15" s="348">
        <f>IF(ISNUMBER(
   IF(D_I="SI",(Datos!L15-Datos!V15)/Datos!V15,(Datos!L15+Datos!AF15-(Datos!V15+Datos!AN15))/(Datos!V15+Datos!AN15))
     ),IF(D_I="SI",(Datos!L15-Datos!V15)/Datos!V15,(Datos!L15+Datos!AF15-(Datos!V15+Datos!AN15))/(Datos!V15+Datos!AN15))," - ")</f>
        <v>6.9412909503730136E-2</v>
      </c>
      <c r="H15" s="229">
        <f>IF(ISNUMBER((Datos!M15-Datos!W15)/Datos!W15),(Datos!M15-Datos!W15)/Datos!W15," - ")</f>
        <v>-7.407407407407407E-2</v>
      </c>
      <c r="I15" s="349">
        <f>IF(ISNUMBER((Tasas!C15-Datos!BE15)/Datos!BE15),(Tasas!C15-Datos!BE15)/Datos!BE15," - ")</f>
        <v>0.27912507894401595</v>
      </c>
      <c r="J15" s="348">
        <f>IF(ISNUMBER((Tasas!D15-Datos!BF15)/Datos!BF15),(Tasas!D15-Datos!BF15)/Datos!BF15," - ")</f>
        <v>0.10750025791808521</v>
      </c>
      <c r="K15" s="350">
        <f>IF(ISNUMBER((Tasas!E15-Datos!BG15)/Datos!BG15),(Tasas!E15-Datos!BG15)/Datos!BG15," - ")</f>
        <v>0.16460027121571277</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0.46525679758308158</v>
      </c>
      <c r="E18" s="347">
        <f>IF(ISNUMBER(
   IF(D_I="SI",(Datos!J18-Datos!T18)/Datos!T18,(Datos!J18+Datos!AD18-(Datos!T18+Datos!AL18))/(Datos!T18+Datos!AL18))
     ),IF(D_I="SI",(Datos!J18-Datos!T18)/Datos!T18,(Datos!J18+Datos!AD18-(Datos!T18+Datos!AL18))/(Datos!T18+Datos!AL18))," - ")</f>
        <v>0.64084507042253525</v>
      </c>
      <c r="F18" s="347">
        <f>IF(ISNUMBER(
   IF(D_I="SI",(Datos!K18-Datos!U18)/Datos!U18,(Datos!K18+Datos!AE18-(Datos!U18+Datos!AM18))/(Datos!U18+Datos!AM18))
     ),IF(D_I="SI",(Datos!K18-Datos!U18)/Datos!U18,(Datos!K18+Datos!AE18-(Datos!U18+Datos!AM18))/(Datos!U18+Datos!AM18))," - ")</f>
        <v>0.81196581196581197</v>
      </c>
      <c r="G18" s="348">
        <f>IF(ISNUMBER(
   IF(D_I="SI",(Datos!L18-Datos!V18)/Datos!V18,(Datos!L18+Datos!AF18-(Datos!V18+Datos!AN18))/(Datos!V18+Datos!AN18))
     ),IF(D_I="SI",(Datos!L18-Datos!V18)/Datos!V18,(Datos!L18+Datos!AF18-(Datos!V18+Datos!AN18))/(Datos!V18+Datos!AN18))," - ")</f>
        <v>0.4157303370786517</v>
      </c>
      <c r="H18" s="229">
        <f>IF(ISNUMBER((Datos!M18-Datos!W18)/Datos!W18),(Datos!M18-Datos!W18)/Datos!W18," - ")</f>
        <v>3.2727272727272729</v>
      </c>
      <c r="I18" s="349">
        <f>IF(ISNUMBER((Tasas!C18-Datos!BE18)/Datos!BE18),(Tasas!C18-Datos!BE18)/Datos!BE18," - ")</f>
        <v>-0.21867712529149883</v>
      </c>
      <c r="J18" s="348">
        <f>IF(ISNUMBER((Tasas!D18-Datos!BF18)/Datos!BF18),(Tasas!D18-Datos!BF18)/Datos!BF18," - ")</f>
        <v>1.3580617495711835</v>
      </c>
      <c r="K18" s="350">
        <f>IF(ISNUMBER((Tasas!E18-Datos!BG18)/Datos!BG18),(Tasas!E18-Datos!BG18)/Datos!BG18," - ")</f>
        <v>-0.16225218397223659</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0.10928961748633879</v>
      </c>
      <c r="E19" s="353">
        <f>IF(ISNUMBER(
   IF(D_I="SI",(Datos!J19-Datos!T19)/Datos!T19,(Datos!J19+Datos!AD19-(Datos!T19+Datos!AL19))/(Datos!T19+Datos!AL19))
     ),IF(D_I="SI",(Datos!J19-Datos!T19)/Datos!T19,(Datos!J19+Datos!AD19-(Datos!T19+Datos!AL19))/(Datos!T19+Datos!AL19))," - ")</f>
        <v>-0.1189446366782007</v>
      </c>
      <c r="F19" s="353">
        <f>IF(ISNUMBER(
   IF(D_I="SI",(Datos!K19-Datos!U19)/Datos!U19,(Datos!K19+Datos!AE19-(Datos!U19+Datos!AM19))/(Datos!U19+Datos!AM19))
     ),IF(D_I="SI",(Datos!K19-Datos!U19)/Datos!U19,(Datos!K19+Datos!AE19-(Datos!U19+Datos!AM19))/(Datos!U19+Datos!AM19))," - ")</f>
        <v>-0.11351590106007067</v>
      </c>
      <c r="G19" s="354">
        <f>IF(ISNUMBER(
   IF(D_I="SI",(Datos!L19-Datos!V19)/Datos!V19,(Datos!L19+Datos!AF19-(Datos!V19+Datos!AN19))/(Datos!V19+Datos!AN19))
     ),IF(D_I="SI",(Datos!L19-Datos!V19)/Datos!V19,(Datos!L19+Datos!AF19-(Datos!V19+Datos!AN19))/(Datos!V19+Datos!AN19))," - ")</f>
        <v>0.10526315789473684</v>
      </c>
      <c r="H19" s="355">
        <f>IF(ISNUMBER((Datos!M19-Datos!W19)/Datos!W19),(Datos!M19-Datos!W19)/Datos!W19," - ")</f>
        <v>5.6939501779359428E-2</v>
      </c>
      <c r="I19" s="356">
        <f>IF(ISNUMBER((Tasas!C19-Datos!BE19)/Datos!BE19),(Tasas!C19-Datos!BE19)/Datos!BE19," - ")</f>
        <v>0.24679411533317605</v>
      </c>
      <c r="J19" s="354">
        <f>IF(ISNUMBER((Tasas!D19-Datos!BF19)/Datos!BF19),(Tasas!D19-Datos!BF19)/Datos!BF19," - ")</f>
        <v>0.19228252716914301</v>
      </c>
      <c r="K19" s="357">
        <f>IF(ISNUMBER((Tasas!E19-Datos!BG19)/Datos!BG19),(Tasas!E19-Datos!BG19)/Datos!BG19," - ")</f>
        <v>0.14851225065354687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-6.23562710065452E-2</v>
      </c>
      <c r="E20" s="362">
        <f>IF(ISNUMBER(
   IF(J_V="SI",(Datos!J20-Datos!T20)/Datos!T20,(Datos!J20+Datos!Z20-(Datos!T20+Datos!AH20))/(Datos!T20+Datos!AH20))
     ),IF(J_V="SI",(Datos!J20-Datos!T20)/Datos!T20,(Datos!J20+Datos!Z20-(Datos!T20+Datos!AH20))/(Datos!T20+Datos!AH20))," - ")</f>
        <v>-0.18938119274630771</v>
      </c>
      <c r="F20" s="362">
        <f>IF(ISNUMBER(
   IF(J_V="SI",(Datos!K20-Datos!U20)/Datos!U20,(Datos!K20+Datos!AA20-(Datos!U20+Datos!AI20))/(Datos!U20+Datos!AI20))
     ),IF(J_V="SI",(Datos!K20-Datos!U20)/Datos!U20,(Datos!K20+Datos!AA20-(Datos!U20+Datos!AI20))/(Datos!U20+Datos!AI20))," - ")</f>
        <v>-0.10912906610703044</v>
      </c>
      <c r="G20" s="363">
        <f>IF(ISNUMBER(
   IF(J_V="SI",(Datos!L20-Datos!V20)/Datos!V20,(Datos!L20+Datos!AB20-(Datos!V20+Datos!AJ20))/(Datos!V20+Datos!AJ20))
     ),IF(J_V="SI",(Datos!L20-Datos!V20)/Datos!V20,(Datos!L20+Datos!AB20-(Datos!V20+Datos!AJ20))/(Datos!V20+Datos!AJ20))," - ")</f>
        <v>-6.7692040319777547E-2</v>
      </c>
      <c r="H20" s="364">
        <f>IF(ISNUMBER((Datos!M20-Datos!W20)/Datos!W20),(Datos!M20-Datos!W20)/Datos!W20," - ")</f>
        <v>-7.1285140562248994E-2</v>
      </c>
      <c r="I20" s="361">
        <f>IF(ISNUMBER((Tasas!C20-Datos!BE20)/Datos!BE20),(Tasas!C20-Datos!BE20)/Datos!BE20," - ")</f>
        <v>4.6512939429036386E-2</v>
      </c>
      <c r="J20" s="362">
        <f>IF(ISNUMBER((Tasas!D20-Datos!BF20)/Datos!BF20),(Tasas!D20-Datos!BF20)/Datos!BF20," - ")</f>
        <v>-0.30547841056367708</v>
      </c>
      <c r="K20" s="363">
        <f>IF(ISNUMBER((Tasas!E20-Datos!BG20)/Datos!BG20),(Tasas!E20-Datos!BG20)/Datos!BG20," - ")</f>
        <v>6.7090072591449819E-3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0.21981909259698049</v>
      </c>
      <c r="E22" s="277">
        <f t="shared" si="1"/>
        <v>0.38869132280236085</v>
      </c>
      <c r="F22" s="277">
        <f t="shared" si="1"/>
        <v>0.61006596526238277</v>
      </c>
      <c r="G22" s="278">
        <f t="shared" si="1"/>
        <v>0.15839582154076856</v>
      </c>
      <c r="H22" s="284">
        <f t="shared" si="1"/>
        <v>1.3713077850015685</v>
      </c>
      <c r="I22" s="276">
        <f t="shared" si="1"/>
        <v>0.99199370022877464</v>
      </c>
      <c r="J22" s="277">
        <f t="shared" si="1"/>
        <v>0.70399010641274296</v>
      </c>
      <c r="K22" s="278">
        <f t="shared" si="1"/>
        <v>0.65810268354237933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Yo7VUTURW1k7u345+P0JYySBKYj0UKK5j6+zRtxjpJYwMWVD8FJKu5w86fILdVbm8llJBm0yULmv6L7/ZmKjjQ==" saltValue="dZ1AndLl7fN0t7GzArhe7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